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fish\passage\docs\mitigation\"/>
    </mc:Choice>
  </mc:AlternateContent>
  <bookViews>
    <workbookView xWindow="840" yWindow="408" windowWidth="22320" windowHeight="11976" tabRatio="878" activeTab="5"/>
  </bookViews>
  <sheets>
    <sheet name="Introduction" sheetId="12" r:id="rId1"/>
    <sheet name="Cover Page" sheetId="7" r:id="rId2"/>
    <sheet name="Instream-HabRate" sheetId="8" r:id="rId3"/>
    <sheet name="Riparian &amp; Floodplain" sheetId="1" r:id="rId4"/>
    <sheet name="Supporting Landscape" sheetId="9" r:id="rId5"/>
    <sheet name="Credit Calculations" sheetId="11" r:id="rId6"/>
    <sheet name="References" sheetId="4" r:id="rId7"/>
    <sheet name="HabRate Summary" sheetId="5" r:id="rId8"/>
    <sheet name="Dropdown lists" sheetId="3" r:id="rId9"/>
  </sheets>
  <definedNames>
    <definedName name="Checkbox">'Dropdown lists'!$I$16:$I$17</definedName>
    <definedName name="DEQ303d">'Supporting Landscape'!$G$34</definedName>
    <definedName name="DEQ303d_Score">'Supporting Landscape'!$G$35</definedName>
    <definedName name="Entrench">'Riparian &amp; Floodplain'!$G$24</definedName>
    <definedName name="Entrench_Score">'Riparian &amp; Floodplain'!$G$25</definedName>
    <definedName name="Floodpln">'Riparian &amp; Floodplain'!$G$28</definedName>
    <definedName name="Floodpln_Score">'Riparian &amp; Floodplain'!$G$29</definedName>
    <definedName name="FuncRip">'Riparian &amp; Floodplain'!$G$15</definedName>
    <definedName name="FuncRip_Score">'Riparian &amp; Floodplain'!$G$16</definedName>
    <definedName name="Instream">'Credit Calculations'!#REF!</definedName>
    <definedName name="Instream_Weight">'Credit Calculations'!$D$7</definedName>
    <definedName name="Landscape">'Credit Calculations'!$N$9</definedName>
    <definedName name="Landscape_Score">'Credit Calculations'!$L$9</definedName>
    <definedName name="Landscape_Weight">'Credit Calculations'!$D$9</definedName>
    <definedName name="lenHData">'Instream-HabRate'!$S$18</definedName>
    <definedName name="LU_DEQ303D_Score">'Dropdown lists'!$I$37:$J$39</definedName>
    <definedName name="LU_Entrench_Score">'Dropdown lists'!$C$25:$D$29</definedName>
    <definedName name="LU_Floodplain_Score">'Dropdown lists'!$F$25:$G$30</definedName>
    <definedName name="LU_NNSp_Score">'Dropdown lists'!$F$37:$G$40</definedName>
    <definedName name="LU_Passage_Status">'Dropdown lists'!$C$16:$C$18</definedName>
    <definedName name="LU_Pct_Protected_Score">'Dropdown lists'!$C$37:$D$42</definedName>
    <definedName name="LU_PctAgrigulture_Score">'Dropdown lists'!$C$46:$D$50</definedName>
    <definedName name="LU_RoadDensity_Score">'Dropdown lists'!$F$46:$G$49</definedName>
    <definedName name="LU_StreamXDensity_Score">'Dropdown lists'!$I$46:$J$49</definedName>
    <definedName name="Mature_Forest_Pct">'Dropdown lists'!$F$26:$F$29</definedName>
    <definedName name="Mgt">'Credit Calculations'!$E$163</definedName>
    <definedName name="Nearstream">'Credit Calculations'!$N$8</definedName>
    <definedName name="Nearstream_Score">'Credit Calculations'!$L$8</definedName>
    <definedName name="Nearstream_Weight">'Credit Calculations'!$D$8</definedName>
    <definedName name="NNSpec">'Supporting Landscape'!$G$25</definedName>
    <definedName name="NNSpec_Score">'Supporting Landscape'!$G$26</definedName>
    <definedName name="Passage_Status">'Instream-HabRate'!$S$9</definedName>
    <definedName name="pClass1">'Riparian &amp; Floodplain'!$G$11</definedName>
    <definedName name="pClass2">'Riparian &amp; Floodplain'!$G$12</definedName>
    <definedName name="pClass3">'Riparian &amp; Floodplain'!$G$13</definedName>
    <definedName name="pClass4">'Riparian &amp; Floodplain'!$G$14</definedName>
    <definedName name="PctAgriculture">'Supporting Landscape'!$G$38</definedName>
    <definedName name="PctAgriculture_Score">'Supporting Landscape'!$G$39</definedName>
    <definedName name="_xlnm.Print_Area" localSheetId="1">'Cover Page'!$A$1:$M$61</definedName>
    <definedName name="_xlnm.Print_Area" localSheetId="5">'Credit Calculations'!$A$1:$Q$128</definedName>
    <definedName name="_xlnm.Print_Area" localSheetId="8">'Dropdown lists'!$B$3:$J$51</definedName>
    <definedName name="_xlnm.Print_Area" localSheetId="7">'HabRate Summary'!$B$3:$B$14</definedName>
    <definedName name="_xlnm.Print_Area" localSheetId="2">'Instream-HabRate'!$C$1:$V$66</definedName>
    <definedName name="_xlnm.Print_Area" localSheetId="0">Introduction!$A$1:$J$43</definedName>
    <definedName name="_xlnm.Print_Area" localSheetId="6">References!$B$2:$I$42</definedName>
    <definedName name="_xlnm.Print_Area" localSheetId="3">'Riparian &amp; Floodplain'!$B$1:$P$33</definedName>
    <definedName name="_xlnm.Print_Area" localSheetId="4">'Supporting Landscape'!$B$1:$O$56</definedName>
    <definedName name="_xlnm.Print_Titles" localSheetId="2">'Instream-HabRate'!$1:$1</definedName>
    <definedName name="_xlnm.Print_Titles" localSheetId="3">'Riparian &amp; Floodplain'!$1:$6</definedName>
    <definedName name="_xlnm.Print_Titles" localSheetId="4">'Supporting Landscape'!$1:$1</definedName>
    <definedName name="Project_Site">'Cover Page'!$C$4</definedName>
    <definedName name="ProtectContArea">'Supporting Landscape'!$G$16</definedName>
    <definedName name="ProtectContArea_Score">'Supporting Landscape'!$G$17</definedName>
    <definedName name="ProtectRiparian">'Supporting Landscape'!$G$11</definedName>
    <definedName name="ProtectRiparian_Score">'Supporting Landscape'!$G$12</definedName>
    <definedName name="Riparian_Pct">'Dropdown lists'!$I$20:$I$50</definedName>
    <definedName name="RoadDensity">'Supporting Landscape'!$G$42</definedName>
    <definedName name="RoadDensity_Score">'Supporting Landscape'!$G$43</definedName>
    <definedName name="Status">'Credit Calculations'!#REF!</definedName>
    <definedName name="StreamXDen">'Supporting Landscape'!$G$51</definedName>
    <definedName name="StrmXDen_Score">'Supporting Landscape'!$G$52</definedName>
    <definedName name="TotMiles">'Instream-HabRate'!$S$15</definedName>
    <definedName name="Use_pct">'Dropdown lists'!$G$52:$G$54</definedName>
    <definedName name="Veg">'Credit Calculations'!$E$161</definedName>
    <definedName name="Yes_No">'Dropdown lists'!$G$16:$G$17</definedName>
    <definedName name="Z_2CD00E0D_7A42_4D1F_BB0C_36C7B8A44027_.wvu.PrintArea" localSheetId="3" hidden="1">'Riparian &amp; Floodplain'!$B$1:$G$29</definedName>
  </definedNames>
  <calcPr calcId="152511"/>
  <customWorkbookViews>
    <customWorkbookView name="Debbie Pickering - Personal View" guid="{2CD00E0D-7A42-4D1F-BB0C-36C7B8A44027}" mergeInterval="0" personalView="1" maximized="1" windowWidth="1276" windowHeight="759" activeSheetId="1"/>
  </customWorkbookViews>
</workbook>
</file>

<file path=xl/calcChain.xml><?xml version="1.0" encoding="utf-8"?>
<calcChain xmlns="http://schemas.openxmlformats.org/spreadsheetml/2006/main">
  <c r="O25" i="1" l="1"/>
  <c r="O26" i="1"/>
  <c r="O27" i="1"/>
  <c r="O28" i="1"/>
  <c r="O29" i="1"/>
  <c r="O30" i="1"/>
  <c r="O31" i="1"/>
  <c r="O32" i="1"/>
  <c r="O33" i="1"/>
  <c r="O34" i="1"/>
  <c r="O35" i="1"/>
  <c r="O36" i="1"/>
  <c r="O37" i="1"/>
  <c r="O38" i="1"/>
  <c r="O39" i="1"/>
  <c r="O40" i="1"/>
  <c r="O41" i="1"/>
  <c r="O42" i="1"/>
  <c r="O43" i="1"/>
  <c r="O44" i="1"/>
  <c r="O45" i="1"/>
  <c r="O46" i="1"/>
  <c r="O47" i="1"/>
  <c r="O48" i="1"/>
  <c r="O24" i="1"/>
  <c r="B40" i="11" l="1"/>
  <c r="D40" i="11"/>
  <c r="E40" i="11"/>
  <c r="F40" i="11"/>
  <c r="G40" i="11"/>
  <c r="H40" i="11"/>
  <c r="I40" i="11"/>
  <c r="J40" i="11"/>
  <c r="K40" i="11"/>
  <c r="L40" i="11"/>
  <c r="M40" i="11"/>
  <c r="N40" i="11"/>
  <c r="O40" i="11"/>
  <c r="P40" i="11"/>
  <c r="Q40" i="11"/>
  <c r="R40" i="11"/>
  <c r="S40" i="11"/>
  <c r="T40" i="11"/>
  <c r="U40" i="11"/>
  <c r="V40" i="11"/>
  <c r="B41" i="11"/>
  <c r="D41" i="11"/>
  <c r="E41" i="11"/>
  <c r="F41" i="11"/>
  <c r="G41" i="11"/>
  <c r="H41" i="11"/>
  <c r="I41" i="11"/>
  <c r="J41" i="11"/>
  <c r="K41" i="11"/>
  <c r="L41" i="11"/>
  <c r="M41" i="11"/>
  <c r="N41" i="11"/>
  <c r="O41" i="11"/>
  <c r="P41" i="11"/>
  <c r="Q41" i="11"/>
  <c r="R41" i="11"/>
  <c r="S41" i="11"/>
  <c r="T41" i="11"/>
  <c r="U41" i="11"/>
  <c r="V41" i="11"/>
  <c r="B42" i="11"/>
  <c r="C42" i="11"/>
  <c r="D42" i="11"/>
  <c r="E42" i="11"/>
  <c r="F42" i="11"/>
  <c r="G42" i="11"/>
  <c r="H42" i="11"/>
  <c r="I42" i="11"/>
  <c r="J42" i="11"/>
  <c r="K42" i="11"/>
  <c r="L42" i="11"/>
  <c r="M42" i="11"/>
  <c r="N42" i="11"/>
  <c r="O42" i="11"/>
  <c r="P42" i="11"/>
  <c r="Q42" i="11"/>
  <c r="R42" i="11"/>
  <c r="S42" i="11"/>
  <c r="T42" i="11"/>
  <c r="U42" i="11"/>
  <c r="V42" i="11"/>
  <c r="B43" i="11"/>
  <c r="D43" i="11"/>
  <c r="E43" i="11"/>
  <c r="F43" i="11"/>
  <c r="G43" i="11"/>
  <c r="H43" i="11"/>
  <c r="I43" i="11"/>
  <c r="J43" i="11"/>
  <c r="K43" i="11"/>
  <c r="L43" i="11"/>
  <c r="M43" i="11"/>
  <c r="N43" i="11"/>
  <c r="O43" i="11"/>
  <c r="P43" i="11"/>
  <c r="Q43" i="11"/>
  <c r="R43" i="11"/>
  <c r="S43" i="11"/>
  <c r="T43" i="11"/>
  <c r="U43" i="11"/>
  <c r="V43" i="11"/>
  <c r="A57" i="8"/>
  <c r="B39" i="11"/>
  <c r="D39" i="11"/>
  <c r="E39" i="11"/>
  <c r="F39" i="11"/>
  <c r="G39" i="11"/>
  <c r="H39" i="11"/>
  <c r="I39" i="11"/>
  <c r="J39" i="11"/>
  <c r="K39" i="11"/>
  <c r="L39" i="11"/>
  <c r="M39" i="11"/>
  <c r="N39" i="11"/>
  <c r="O39" i="11"/>
  <c r="P39" i="11"/>
  <c r="Q39" i="11"/>
  <c r="R39" i="11"/>
  <c r="S39" i="11"/>
  <c r="T39" i="11"/>
  <c r="U39" i="11"/>
  <c r="V39" i="11"/>
  <c r="B15" i="11"/>
  <c r="D15" i="11"/>
  <c r="H15" i="11" s="1"/>
  <c r="E15" i="11"/>
  <c r="K15" i="11" s="1"/>
  <c r="F15" i="11"/>
  <c r="P15" i="11" s="1"/>
  <c r="G15" i="11"/>
  <c r="S15" i="11" s="1"/>
  <c r="B16" i="11"/>
  <c r="D16" i="11"/>
  <c r="H16" i="11" s="1"/>
  <c r="E16" i="11"/>
  <c r="N16" i="11" s="1"/>
  <c r="F16" i="11"/>
  <c r="Q16" i="11" s="1"/>
  <c r="G16" i="11"/>
  <c r="V16" i="11" s="1"/>
  <c r="B17" i="11"/>
  <c r="D17" i="11"/>
  <c r="I17" i="11" s="1"/>
  <c r="E17" i="11"/>
  <c r="L17" i="11" s="1"/>
  <c r="F17" i="11"/>
  <c r="Q17" i="11" s="1"/>
  <c r="G17" i="11"/>
  <c r="S17" i="11" s="1"/>
  <c r="B18" i="11"/>
  <c r="C18" i="11"/>
  <c r="D18" i="11"/>
  <c r="H18" i="11" s="1"/>
  <c r="E18" i="11"/>
  <c r="L18" i="11" s="1"/>
  <c r="F18" i="11"/>
  <c r="P18" i="11" s="1"/>
  <c r="G18" i="11"/>
  <c r="T18" i="11" s="1"/>
  <c r="R18" i="11"/>
  <c r="B19" i="11"/>
  <c r="D19" i="11"/>
  <c r="I19" i="11" s="1"/>
  <c r="E19" i="11"/>
  <c r="O19" i="11" s="1"/>
  <c r="F19" i="11"/>
  <c r="P19" i="11" s="1"/>
  <c r="G19" i="11"/>
  <c r="V19" i="11" s="1"/>
  <c r="B20" i="11"/>
  <c r="D20" i="11"/>
  <c r="J20" i="11" s="1"/>
  <c r="E20" i="11"/>
  <c r="M20" i="11" s="1"/>
  <c r="F20" i="11"/>
  <c r="R20" i="11" s="1"/>
  <c r="G20" i="11"/>
  <c r="S20" i="11" s="1"/>
  <c r="B21" i="11"/>
  <c r="D21" i="11"/>
  <c r="H21" i="11" s="1"/>
  <c r="E21" i="11"/>
  <c r="K21" i="11" s="1"/>
  <c r="F21" i="11"/>
  <c r="P21" i="11" s="1"/>
  <c r="G21" i="11"/>
  <c r="U21" i="11" s="1"/>
  <c r="B22" i="11"/>
  <c r="D22" i="11"/>
  <c r="H22" i="11" s="1"/>
  <c r="E22" i="11"/>
  <c r="K22" i="11" s="1"/>
  <c r="F22" i="11"/>
  <c r="P22" i="11" s="1"/>
  <c r="G22" i="11"/>
  <c r="V22" i="11" s="1"/>
  <c r="B23" i="11"/>
  <c r="D23" i="11"/>
  <c r="J23" i="11" s="1"/>
  <c r="E23" i="11"/>
  <c r="K23" i="11" s="1"/>
  <c r="F23" i="11"/>
  <c r="Q23" i="11" s="1"/>
  <c r="G23" i="11"/>
  <c r="S23" i="11" s="1"/>
  <c r="B24" i="11"/>
  <c r="D24" i="11"/>
  <c r="H24" i="11" s="1"/>
  <c r="E24" i="11"/>
  <c r="N24" i="11" s="1"/>
  <c r="F24" i="11"/>
  <c r="Q24" i="11" s="1"/>
  <c r="G24" i="11"/>
  <c r="V24" i="11" s="1"/>
  <c r="R24" i="11"/>
  <c r="T24" i="11"/>
  <c r="B25" i="11"/>
  <c r="D25" i="11"/>
  <c r="I25" i="11" s="1"/>
  <c r="E25" i="11"/>
  <c r="L25" i="11" s="1"/>
  <c r="F25" i="11"/>
  <c r="Q25" i="11" s="1"/>
  <c r="G25" i="11"/>
  <c r="S25" i="11" s="1"/>
  <c r="B26" i="11"/>
  <c r="C26" i="11"/>
  <c r="D26" i="11"/>
  <c r="H26" i="11" s="1"/>
  <c r="E26" i="11"/>
  <c r="L26" i="11" s="1"/>
  <c r="F26" i="11"/>
  <c r="P26" i="11" s="1"/>
  <c r="G26" i="11"/>
  <c r="T26" i="11" s="1"/>
  <c r="B27" i="11"/>
  <c r="D27" i="11"/>
  <c r="I27" i="11" s="1"/>
  <c r="E27" i="11"/>
  <c r="O27" i="11" s="1"/>
  <c r="F27" i="11"/>
  <c r="Q27" i="11" s="1"/>
  <c r="G27" i="11"/>
  <c r="U27" i="11" s="1"/>
  <c r="B28" i="11"/>
  <c r="D28" i="11"/>
  <c r="J28" i="11" s="1"/>
  <c r="E28" i="11"/>
  <c r="L28" i="11" s="1"/>
  <c r="F28" i="11"/>
  <c r="R28" i="11" s="1"/>
  <c r="G28" i="11"/>
  <c r="S28" i="11" s="1"/>
  <c r="B29" i="11"/>
  <c r="D29" i="11"/>
  <c r="H29" i="11" s="1"/>
  <c r="E29" i="11"/>
  <c r="L29" i="11" s="1"/>
  <c r="F29" i="11"/>
  <c r="P29" i="11" s="1"/>
  <c r="G29" i="11"/>
  <c r="U29" i="11" s="1"/>
  <c r="T29" i="11"/>
  <c r="B30" i="11"/>
  <c r="D30" i="11"/>
  <c r="H30" i="11" s="1"/>
  <c r="E30" i="11"/>
  <c r="K30" i="11" s="1"/>
  <c r="F30" i="11"/>
  <c r="P30" i="11" s="1"/>
  <c r="G30" i="11"/>
  <c r="S30" i="11" s="1"/>
  <c r="B31" i="11"/>
  <c r="D31" i="11"/>
  <c r="H31" i="11" s="1"/>
  <c r="E31" i="11"/>
  <c r="K31" i="11" s="1"/>
  <c r="F31" i="11"/>
  <c r="Q31" i="11" s="1"/>
  <c r="G31" i="11"/>
  <c r="S31" i="11" s="1"/>
  <c r="I31" i="11"/>
  <c r="B32" i="11"/>
  <c r="D32" i="11"/>
  <c r="H32" i="11" s="1"/>
  <c r="E32" i="11"/>
  <c r="N32" i="11" s="1"/>
  <c r="F32" i="11"/>
  <c r="Q32" i="11" s="1"/>
  <c r="G32" i="11"/>
  <c r="V32" i="11" s="1"/>
  <c r="B33" i="11"/>
  <c r="D33" i="11"/>
  <c r="I33" i="11" s="1"/>
  <c r="E33" i="11"/>
  <c r="L33" i="11" s="1"/>
  <c r="F33" i="11"/>
  <c r="Q33" i="11" s="1"/>
  <c r="G33" i="11"/>
  <c r="S33" i="11" s="1"/>
  <c r="N33" i="11"/>
  <c r="B34" i="11"/>
  <c r="D34" i="11"/>
  <c r="H34" i="11" s="1"/>
  <c r="E34" i="11"/>
  <c r="L34" i="11" s="1"/>
  <c r="F34" i="11"/>
  <c r="P34" i="11" s="1"/>
  <c r="G34" i="11"/>
  <c r="T34" i="11" s="1"/>
  <c r="B35" i="11"/>
  <c r="D35" i="11"/>
  <c r="H35" i="11" s="1"/>
  <c r="E35" i="11"/>
  <c r="O35" i="11" s="1"/>
  <c r="F35" i="11"/>
  <c r="P35" i="11" s="1"/>
  <c r="G35" i="11"/>
  <c r="T35" i="11" s="1"/>
  <c r="S35" i="11"/>
  <c r="B36" i="11"/>
  <c r="C36" i="11"/>
  <c r="D36" i="11"/>
  <c r="J36" i="11" s="1"/>
  <c r="E36" i="11"/>
  <c r="M36" i="11" s="1"/>
  <c r="F36" i="11"/>
  <c r="R36" i="11" s="1"/>
  <c r="G36" i="11"/>
  <c r="S36" i="11" s="1"/>
  <c r="B37" i="11"/>
  <c r="D37" i="11"/>
  <c r="H37" i="11" s="1"/>
  <c r="E37" i="11"/>
  <c r="L37" i="11" s="1"/>
  <c r="F37" i="11"/>
  <c r="P37" i="11" s="1"/>
  <c r="G37" i="11"/>
  <c r="U37" i="11" s="1"/>
  <c r="B38" i="11"/>
  <c r="D38" i="11"/>
  <c r="H38" i="11" s="1"/>
  <c r="E38" i="11"/>
  <c r="K38" i="11" s="1"/>
  <c r="F38" i="11"/>
  <c r="P38" i="11" s="1"/>
  <c r="G38" i="11"/>
  <c r="S38" i="11" s="1"/>
  <c r="O49" i="1"/>
  <c r="L28" i="8"/>
  <c r="C15" i="11" s="1"/>
  <c r="L29" i="8"/>
  <c r="C16" i="11" s="1"/>
  <c r="L30" i="8"/>
  <c r="C17" i="11" s="1"/>
  <c r="L31" i="8"/>
  <c r="L32" i="8"/>
  <c r="C19" i="11" s="1"/>
  <c r="L33" i="8"/>
  <c r="C20" i="11" s="1"/>
  <c r="L34" i="8"/>
  <c r="C21" i="11" s="1"/>
  <c r="L35" i="8"/>
  <c r="C22" i="11" s="1"/>
  <c r="L36" i="8"/>
  <c r="C23" i="11" s="1"/>
  <c r="L37" i="8"/>
  <c r="C24" i="11" s="1"/>
  <c r="L38" i="8"/>
  <c r="C25" i="11" s="1"/>
  <c r="L39" i="8"/>
  <c r="L40" i="8"/>
  <c r="C27" i="11" s="1"/>
  <c r="L41" i="8"/>
  <c r="C28" i="11" s="1"/>
  <c r="L42" i="8"/>
  <c r="C29" i="11" s="1"/>
  <c r="L43" i="8"/>
  <c r="C30" i="11" s="1"/>
  <c r="L44" i="8"/>
  <c r="C31" i="11" s="1"/>
  <c r="L45" i="8"/>
  <c r="C32" i="11" s="1"/>
  <c r="L46" i="8"/>
  <c r="C33" i="11" s="1"/>
  <c r="L47" i="8"/>
  <c r="C34" i="11" s="1"/>
  <c r="L48" i="8"/>
  <c r="C35" i="11" s="1"/>
  <c r="L49" i="8"/>
  <c r="L50" i="8"/>
  <c r="C37" i="11" s="1"/>
  <c r="L51" i="8"/>
  <c r="C38" i="11" s="1"/>
  <c r="L52" i="8"/>
  <c r="C39" i="11" s="1"/>
  <c r="L53" i="8"/>
  <c r="C40" i="11" s="1"/>
  <c r="L54" i="8"/>
  <c r="C41" i="11" s="1"/>
  <c r="L55" i="8"/>
  <c r="L56" i="8"/>
  <c r="C43" i="11" s="1"/>
  <c r="L27" i="8"/>
  <c r="K33" i="11" l="1"/>
  <c r="K36" i="11"/>
  <c r="V35" i="11"/>
  <c r="U35" i="11"/>
  <c r="N30" i="11"/>
  <c r="U19" i="11"/>
  <c r="I23" i="11"/>
  <c r="H20" i="11"/>
  <c r="O36" i="11"/>
  <c r="P32" i="11"/>
  <c r="N37" i="11"/>
  <c r="N36" i="11"/>
  <c r="M33" i="11"/>
  <c r="J25" i="11"/>
  <c r="P33" i="11"/>
  <c r="K37" i="11"/>
  <c r="L36" i="11"/>
  <c r="H25" i="11"/>
  <c r="P24" i="11"/>
  <c r="H23" i="11"/>
  <c r="L20" i="11"/>
  <c r="O30" i="11"/>
  <c r="I20" i="11"/>
  <c r="M21" i="11"/>
  <c r="U31" i="11"/>
  <c r="S24" i="11"/>
  <c r="L21" i="11"/>
  <c r="T19" i="11"/>
  <c r="N18" i="11"/>
  <c r="S32" i="11"/>
  <c r="T31" i="11"/>
  <c r="S19" i="11"/>
  <c r="J38" i="11"/>
  <c r="T27" i="11"/>
  <c r="R26" i="11"/>
  <c r="O25" i="11"/>
  <c r="S27" i="11"/>
  <c r="Q26" i="11"/>
  <c r="N25" i="11"/>
  <c r="O21" i="11"/>
  <c r="I28" i="11"/>
  <c r="N27" i="11"/>
  <c r="M25" i="11"/>
  <c r="U24" i="11"/>
  <c r="N21" i="11"/>
  <c r="O20" i="11"/>
  <c r="N26" i="11"/>
  <c r="J18" i="11"/>
  <c r="P17" i="11"/>
  <c r="R37" i="11"/>
  <c r="I36" i="11"/>
  <c r="O37" i="11"/>
  <c r="H36" i="11"/>
  <c r="J30" i="11"/>
  <c r="N29" i="11"/>
  <c r="M26" i="11"/>
  <c r="P25" i="11"/>
  <c r="U23" i="11"/>
  <c r="N20" i="11"/>
  <c r="I18" i="11"/>
  <c r="O17" i="11"/>
  <c r="R34" i="11"/>
  <c r="P28" i="11"/>
  <c r="K29" i="11"/>
  <c r="O28" i="11"/>
  <c r="P23" i="11"/>
  <c r="S21" i="11"/>
  <c r="K20" i="11"/>
  <c r="M17" i="11"/>
  <c r="P16" i="11"/>
  <c r="I15" i="11"/>
  <c r="S37" i="11"/>
  <c r="M29" i="11"/>
  <c r="K26" i="11"/>
  <c r="T23" i="11"/>
  <c r="N17" i="11"/>
  <c r="J15" i="11"/>
  <c r="M37" i="11"/>
  <c r="J34" i="11"/>
  <c r="I34" i="11"/>
  <c r="O33" i="11"/>
  <c r="K28" i="11"/>
  <c r="V27" i="11"/>
  <c r="R21" i="11"/>
  <c r="K17" i="11"/>
  <c r="I30" i="11"/>
  <c r="S29" i="11"/>
  <c r="R15" i="11"/>
  <c r="R29" i="11"/>
  <c r="V26" i="11"/>
  <c r="O22" i="11"/>
  <c r="Q15" i="11"/>
  <c r="O38" i="11"/>
  <c r="Q36" i="11"/>
  <c r="M34" i="11"/>
  <c r="J33" i="11"/>
  <c r="U32" i="11"/>
  <c r="P31" i="11"/>
  <c r="Q29" i="11"/>
  <c r="M28" i="11"/>
  <c r="M27" i="11"/>
  <c r="U26" i="11"/>
  <c r="I26" i="11"/>
  <c r="N22" i="11"/>
  <c r="Q20" i="11"/>
  <c r="M18" i="11"/>
  <c r="J17" i="11"/>
  <c r="U16" i="11"/>
  <c r="T15" i="11"/>
  <c r="Q34" i="11"/>
  <c r="R31" i="11"/>
  <c r="Q18" i="11"/>
  <c r="N34" i="11"/>
  <c r="N28" i="11"/>
  <c r="J26" i="11"/>
  <c r="N38" i="11"/>
  <c r="T37" i="11"/>
  <c r="P36" i="11"/>
  <c r="K34" i="11"/>
  <c r="H33" i="11"/>
  <c r="T32" i="11"/>
  <c r="J31" i="11"/>
  <c r="O29" i="11"/>
  <c r="S26" i="11"/>
  <c r="M22" i="11"/>
  <c r="T21" i="11"/>
  <c r="P20" i="11"/>
  <c r="K18" i="11"/>
  <c r="H17" i="11"/>
  <c r="T16" i="11"/>
  <c r="M15" i="11"/>
  <c r="V34" i="11"/>
  <c r="J22" i="11"/>
  <c r="V18" i="11"/>
  <c r="S16" i="11"/>
  <c r="N35" i="11"/>
  <c r="U34" i="11"/>
  <c r="R32" i="11"/>
  <c r="R23" i="11"/>
  <c r="N19" i="11"/>
  <c r="U18" i="11"/>
  <c r="R16" i="11"/>
  <c r="Q37" i="11"/>
  <c r="S34" i="11"/>
  <c r="M30" i="11"/>
  <c r="Q28" i="11"/>
  <c r="H28" i="11"/>
  <c r="K25" i="11"/>
  <c r="Q21" i="11"/>
  <c r="S18" i="11"/>
  <c r="U15" i="11"/>
  <c r="L16" i="11"/>
  <c r="J37" i="11"/>
  <c r="U30" i="11"/>
  <c r="J29" i="11"/>
  <c r="L27" i="11"/>
  <c r="V25" i="11"/>
  <c r="K24" i="11"/>
  <c r="L19" i="11"/>
  <c r="T38" i="11"/>
  <c r="L38" i="11"/>
  <c r="V36" i="11"/>
  <c r="K35" i="11"/>
  <c r="U33" i="11"/>
  <c r="J32" i="11"/>
  <c r="O31" i="11"/>
  <c r="T30" i="11"/>
  <c r="L30" i="11"/>
  <c r="I29" i="11"/>
  <c r="V28" i="11"/>
  <c r="K27" i="11"/>
  <c r="U25" i="11"/>
  <c r="J24" i="11"/>
  <c r="O23" i="11"/>
  <c r="T22" i="11"/>
  <c r="L22" i="11"/>
  <c r="I21" i="11"/>
  <c r="V20" i="11"/>
  <c r="K19" i="11"/>
  <c r="U17" i="11"/>
  <c r="J16" i="11"/>
  <c r="O15" i="11"/>
  <c r="M32" i="11"/>
  <c r="M24" i="11"/>
  <c r="V38" i="11"/>
  <c r="V30" i="11"/>
  <c r="U38" i="11"/>
  <c r="M38" i="11"/>
  <c r="L35" i="11"/>
  <c r="V33" i="11"/>
  <c r="K32" i="11"/>
  <c r="U22" i="11"/>
  <c r="J21" i="11"/>
  <c r="V17" i="11"/>
  <c r="K16" i="11"/>
  <c r="I37" i="11"/>
  <c r="U36" i="11"/>
  <c r="R35" i="11"/>
  <c r="J35" i="11"/>
  <c r="O34" i="11"/>
  <c r="T33" i="11"/>
  <c r="I32" i="11"/>
  <c r="V31" i="11"/>
  <c r="N31" i="11"/>
  <c r="U28" i="11"/>
  <c r="R27" i="11"/>
  <c r="J27" i="11"/>
  <c r="O26" i="11"/>
  <c r="T25" i="11"/>
  <c r="I24" i="11"/>
  <c r="V23" i="11"/>
  <c r="N23" i="11"/>
  <c r="S22" i="11"/>
  <c r="U20" i="11"/>
  <c r="R19" i="11"/>
  <c r="J19" i="11"/>
  <c r="O18" i="11"/>
  <c r="T17" i="11"/>
  <c r="I16" i="11"/>
  <c r="V15" i="11"/>
  <c r="N15" i="11"/>
  <c r="M35" i="11"/>
  <c r="L24" i="11"/>
  <c r="T36" i="11"/>
  <c r="Q35" i="11"/>
  <c r="I35" i="11"/>
  <c r="T28" i="11"/>
  <c r="T20" i="11"/>
  <c r="Q19" i="11"/>
  <c r="I38" i="11"/>
  <c r="R33" i="11"/>
  <c r="L31" i="11"/>
  <c r="Q30" i="11"/>
  <c r="V29" i="11"/>
  <c r="P27" i="11"/>
  <c r="H27" i="11"/>
  <c r="R25" i="11"/>
  <c r="O24" i="11"/>
  <c r="L23" i="11"/>
  <c r="Q22" i="11"/>
  <c r="I22" i="11"/>
  <c r="V21" i="11"/>
  <c r="H19" i="11"/>
  <c r="R17" i="11"/>
  <c r="O16" i="11"/>
  <c r="L15" i="11"/>
  <c r="M16" i="11"/>
  <c r="L32" i="11"/>
  <c r="M19" i="11"/>
  <c r="R38" i="11"/>
  <c r="M31" i="11"/>
  <c r="R30" i="11"/>
  <c r="M23" i="11"/>
  <c r="R22" i="11"/>
  <c r="Q38" i="11"/>
  <c r="V37" i="11"/>
  <c r="O32" i="11"/>
  <c r="S18" i="8"/>
  <c r="W19" i="8"/>
  <c r="B50" i="11" l="1"/>
  <c r="B86" i="11" s="1"/>
  <c r="B51" i="11"/>
  <c r="B87" i="11" s="1"/>
  <c r="B52" i="11"/>
  <c r="B88" i="11" s="1"/>
  <c r="B53" i="11"/>
  <c r="B89" i="11" s="1"/>
  <c r="B54" i="11"/>
  <c r="B90" i="11" s="1"/>
  <c r="B55" i="11"/>
  <c r="B91" i="11" s="1"/>
  <c r="B56" i="11"/>
  <c r="B92" i="11" s="1"/>
  <c r="B57" i="11"/>
  <c r="B93" i="11" s="1"/>
  <c r="B58" i="11"/>
  <c r="B94" i="11" s="1"/>
  <c r="B59" i="11"/>
  <c r="B95" i="11" s="1"/>
  <c r="B60" i="11"/>
  <c r="B96" i="11" s="1"/>
  <c r="B61" i="11"/>
  <c r="B97" i="11" s="1"/>
  <c r="B62" i="11"/>
  <c r="B98" i="11" s="1"/>
  <c r="B63" i="11"/>
  <c r="B99" i="11" s="1"/>
  <c r="B64" i="11"/>
  <c r="B100" i="11" s="1"/>
  <c r="B65" i="11"/>
  <c r="B101" i="11" s="1"/>
  <c r="B66" i="11"/>
  <c r="B102" i="11" s="1"/>
  <c r="B67" i="11"/>
  <c r="B103" i="11" s="1"/>
  <c r="B68" i="11"/>
  <c r="B104" i="11" s="1"/>
  <c r="B69" i="11"/>
  <c r="B105" i="11" s="1"/>
  <c r="B70" i="11"/>
  <c r="B106" i="11" s="1"/>
  <c r="B71" i="11"/>
  <c r="B107" i="11" s="1"/>
  <c r="B72" i="11"/>
  <c r="B108" i="11" s="1"/>
  <c r="B73" i="11"/>
  <c r="B109" i="11" s="1"/>
  <c r="B74" i="11"/>
  <c r="B110" i="11" s="1"/>
  <c r="B75" i="11"/>
  <c r="B111" i="11" s="1"/>
  <c r="B76" i="11"/>
  <c r="B112" i="11" s="1"/>
  <c r="B77" i="11"/>
  <c r="B113" i="11" s="1"/>
  <c r="B78" i="11"/>
  <c r="B114" i="11" s="1"/>
  <c r="B14" i="11"/>
  <c r="B49" i="11" l="1"/>
  <c r="B85" i="11" l="1"/>
  <c r="C14" i="11"/>
  <c r="C72" i="11" l="1"/>
  <c r="C108" i="11"/>
  <c r="C74" i="11"/>
  <c r="C110" i="11"/>
  <c r="C66" i="11"/>
  <c r="C102" i="11"/>
  <c r="C58" i="11"/>
  <c r="C94" i="11"/>
  <c r="C86" i="11"/>
  <c r="C50" i="11"/>
  <c r="C73" i="11"/>
  <c r="C109" i="11"/>
  <c r="C65" i="11"/>
  <c r="C101" i="11"/>
  <c r="C57" i="11"/>
  <c r="C93" i="11"/>
  <c r="C100" i="11"/>
  <c r="C64" i="11"/>
  <c r="C63" i="11"/>
  <c r="C99" i="11"/>
  <c r="C114" i="11"/>
  <c r="C78" i="11"/>
  <c r="C70" i="11"/>
  <c r="C106" i="11"/>
  <c r="C62" i="11"/>
  <c r="C98" i="11"/>
  <c r="C54" i="11"/>
  <c r="C90" i="11"/>
  <c r="C56" i="11"/>
  <c r="C92" i="11"/>
  <c r="C69" i="11"/>
  <c r="C105" i="11"/>
  <c r="C53" i="11"/>
  <c r="C89" i="11"/>
  <c r="C68" i="11"/>
  <c r="C104" i="11"/>
  <c r="C71" i="11"/>
  <c r="C107" i="11"/>
  <c r="C55" i="11"/>
  <c r="C91" i="11"/>
  <c r="C77" i="11"/>
  <c r="C113" i="11"/>
  <c r="C61" i="11"/>
  <c r="C97" i="11"/>
  <c r="C76" i="11"/>
  <c r="C112" i="11"/>
  <c r="C60" i="11"/>
  <c r="C96" i="11"/>
  <c r="C52" i="11"/>
  <c r="C88" i="11"/>
  <c r="C75" i="11"/>
  <c r="C111" i="11"/>
  <c r="C67" i="11"/>
  <c r="C103" i="11"/>
  <c r="C59" i="11"/>
  <c r="C95" i="11"/>
  <c r="C87" i="11"/>
  <c r="C51" i="11"/>
  <c r="AC129" i="8"/>
  <c r="D14" i="11" l="1"/>
  <c r="J14" i="11" s="1"/>
  <c r="G14" i="11"/>
  <c r="F14" i="11"/>
  <c r="E14" i="11"/>
  <c r="N14" i="11" s="1"/>
  <c r="C85" i="11"/>
  <c r="J121" i="11"/>
  <c r="O121" i="11" s="1"/>
  <c r="B3" i="11"/>
  <c r="I14" i="11" l="1"/>
  <c r="S14" i="11"/>
  <c r="V14" i="11"/>
  <c r="U14" i="11"/>
  <c r="T14" i="11"/>
  <c r="H14" i="11"/>
  <c r="P14" i="11"/>
  <c r="K14" i="11"/>
  <c r="L14" i="11"/>
  <c r="O14" i="11"/>
  <c r="Q14" i="11"/>
  <c r="R14" i="11"/>
  <c r="M14" i="11"/>
  <c r="C49" i="11"/>
  <c r="B2" i="7" l="1"/>
  <c r="B1" i="11" s="1"/>
  <c r="M49" i="1" l="1"/>
  <c r="O50" i="1" s="1"/>
  <c r="B1" i="1"/>
  <c r="B1" i="9" l="1"/>
  <c r="B1" i="5"/>
  <c r="B1" i="4"/>
  <c r="B1" i="3"/>
  <c r="C1" i="8"/>
  <c r="T18" i="8"/>
  <c r="J7" i="11" s="1"/>
  <c r="O14" i="1" l="1"/>
  <c r="J10" i="7" l="1"/>
  <c r="M43" i="9" l="1"/>
  <c r="N43" i="9" s="1"/>
  <c r="H14" i="7"/>
  <c r="N12" i="9" l="1"/>
  <c r="N16" i="9"/>
  <c r="G14" i="1" l="1"/>
  <c r="M51" i="9"/>
  <c r="N39" i="9"/>
  <c r="B3" i="9"/>
  <c r="C3" i="8"/>
  <c r="B3" i="1"/>
  <c r="G11" i="1" l="1"/>
  <c r="G12" i="1"/>
  <c r="G13" i="1"/>
  <c r="G15" i="1" l="1"/>
  <c r="G16" i="1" s="1"/>
  <c r="G52" i="9" l="1"/>
  <c r="G43" i="9"/>
  <c r="G12" i="9"/>
  <c r="G17" i="9"/>
  <c r="G29" i="1"/>
  <c r="G25" i="1"/>
  <c r="G26" i="9"/>
  <c r="G39" i="9"/>
  <c r="G35" i="9"/>
  <c r="J9" i="11" l="1"/>
  <c r="L9" i="11" s="1"/>
  <c r="N9" i="11" s="1"/>
  <c r="J8" i="11"/>
  <c r="L8" i="11" s="1"/>
  <c r="N8" i="11" s="1"/>
  <c r="M61" i="11"/>
  <c r="M97" i="11" s="1"/>
  <c r="M71" i="11"/>
  <c r="M107" i="11" s="1"/>
  <c r="O58" i="11"/>
  <c r="O94" i="11" s="1"/>
  <c r="M77" i="11"/>
  <c r="M73" i="11"/>
  <c r="M109" i="11" s="1"/>
  <c r="O59" i="11"/>
  <c r="O95" i="11" s="1"/>
  <c r="O75" i="11"/>
  <c r="M58" i="11"/>
  <c r="M94" i="11" s="1"/>
  <c r="O64" i="11"/>
  <c r="O100" i="11" s="1"/>
  <c r="N64" i="11"/>
  <c r="N100" i="11" s="1"/>
  <c r="N76" i="11"/>
  <c r="O51" i="11"/>
  <c r="O87" i="11" s="1"/>
  <c r="O69" i="11"/>
  <c r="O105" i="11" s="1"/>
  <c r="M70" i="11"/>
  <c r="M106" i="11" s="1"/>
  <c r="O50" i="11"/>
  <c r="O86" i="11" s="1"/>
  <c r="M66" i="11"/>
  <c r="M102" i="11" s="1"/>
  <c r="N61" i="11"/>
  <c r="N97" i="11" s="1"/>
  <c r="M68" i="11"/>
  <c r="M104" i="11" s="1"/>
  <c r="N75" i="11"/>
  <c r="M54" i="11"/>
  <c r="M90" i="11" s="1"/>
  <c r="M75" i="11"/>
  <c r="O74" i="11"/>
  <c r="N55" i="11"/>
  <c r="N91" i="11" s="1"/>
  <c r="N54" i="11"/>
  <c r="N90" i="11" s="1"/>
  <c r="M52" i="11"/>
  <c r="M88" i="11" s="1"/>
  <c r="M67" i="11"/>
  <c r="M103" i="11" s="1"/>
  <c r="O71" i="11"/>
  <c r="O107" i="11" s="1"/>
  <c r="M64" i="11"/>
  <c r="M100" i="11" s="1"/>
  <c r="N57" i="11"/>
  <c r="N93" i="11" s="1"/>
  <c r="N63" i="11"/>
  <c r="N99" i="11" s="1"/>
  <c r="M56" i="11"/>
  <c r="M92" i="11" s="1"/>
  <c r="M78" i="11"/>
  <c r="N77" i="11"/>
  <c r="N66" i="11"/>
  <c r="N102" i="11" s="1"/>
  <c r="M62" i="11"/>
  <c r="M98" i="11" s="1"/>
  <c r="N78" i="11"/>
  <c r="O49" i="11"/>
  <c r="G69" i="11"/>
  <c r="G105" i="11" s="1"/>
  <c r="M112" i="11"/>
  <c r="H68" i="11"/>
  <c r="H104" i="11" s="1"/>
  <c r="D51" i="11"/>
  <c r="D87" i="11" s="1"/>
  <c r="J57" i="11"/>
  <c r="J93" i="11" s="1"/>
  <c r="L53" i="11"/>
  <c r="L89" i="11" s="1"/>
  <c r="J68" i="11"/>
  <c r="J104" i="11" s="1"/>
  <c r="F66" i="11"/>
  <c r="F102" i="11" s="1"/>
  <c r="G75" i="11"/>
  <c r="G111" i="11" s="1"/>
  <c r="H76" i="11"/>
  <c r="H112" i="11" s="1"/>
  <c r="J76" i="11"/>
  <c r="J112" i="11" s="1"/>
  <c r="E69" i="11"/>
  <c r="E105" i="11" s="1"/>
  <c r="H72" i="11"/>
  <c r="H108" i="11" s="1"/>
  <c r="I73" i="11"/>
  <c r="I109" i="11" s="1"/>
  <c r="E67" i="11"/>
  <c r="E103" i="11" s="1"/>
  <c r="K61" i="11"/>
  <c r="K97" i="11" s="1"/>
  <c r="H64" i="11"/>
  <c r="H100" i="11" s="1"/>
  <c r="F74" i="11"/>
  <c r="F110" i="11" s="1"/>
  <c r="L51" i="11"/>
  <c r="L87" i="11" s="1"/>
  <c r="I57" i="11"/>
  <c r="I93" i="11" s="1"/>
  <c r="I56" i="11"/>
  <c r="I92" i="11" s="1"/>
  <c r="I52" i="11"/>
  <c r="I88" i="11" s="1"/>
  <c r="G50" i="11"/>
  <c r="G86" i="11" s="1"/>
  <c r="L64" i="11"/>
  <c r="L100" i="11" s="1"/>
  <c r="K67" i="11"/>
  <c r="K103" i="11" s="1"/>
  <c r="D62" i="11"/>
  <c r="D98" i="11" s="1"/>
  <c r="G74" i="11"/>
  <c r="G110" i="11" s="1"/>
  <c r="E61" i="11"/>
  <c r="E97" i="11" s="1"/>
  <c r="K53" i="11"/>
  <c r="K89" i="11" s="1"/>
  <c r="E53" i="11"/>
  <c r="E89" i="11" s="1"/>
  <c r="F72" i="11"/>
  <c r="F108" i="11" s="1"/>
  <c r="J70" i="11"/>
  <c r="J106" i="11" s="1"/>
  <c r="K60" i="11"/>
  <c r="K96" i="11" s="1"/>
  <c r="F58" i="11"/>
  <c r="F94" i="11" s="1"/>
  <c r="O114" i="11"/>
  <c r="L56" i="11"/>
  <c r="L92" i="11" s="1"/>
  <c r="I63" i="11"/>
  <c r="I99" i="11" s="1"/>
  <c r="O112" i="11"/>
  <c r="D73" i="11"/>
  <c r="D109" i="11" s="1"/>
  <c r="F62" i="11"/>
  <c r="F98" i="11" s="1"/>
  <c r="J64" i="11"/>
  <c r="J100" i="11" s="1"/>
  <c r="K54" i="11"/>
  <c r="K90" i="11" s="1"/>
  <c r="N110" i="11"/>
  <c r="D72" i="11"/>
  <c r="D108" i="11" s="1"/>
  <c r="K65" i="11"/>
  <c r="K101" i="11" s="1"/>
  <c r="H65" i="11"/>
  <c r="H101" i="11" s="1"/>
  <c r="E64" i="11"/>
  <c r="E100" i="11" s="1"/>
  <c r="M114" i="11"/>
  <c r="G63" i="11"/>
  <c r="G99" i="11" s="1"/>
  <c r="K63" i="11"/>
  <c r="K99" i="11" s="1"/>
  <c r="G56" i="11"/>
  <c r="G92" i="11" s="1"/>
  <c r="K66" i="11"/>
  <c r="K102" i="11" s="1"/>
  <c r="I50" i="11"/>
  <c r="I86" i="11" s="1"/>
  <c r="N111" i="11"/>
  <c r="I70" i="11"/>
  <c r="I106" i="11" s="1"/>
  <c r="N112" i="11"/>
  <c r="L76" i="11"/>
  <c r="L112" i="11" s="1"/>
  <c r="L78" i="11"/>
  <c r="L114" i="11" s="1"/>
  <c r="G52" i="11"/>
  <c r="G88" i="11" s="1"/>
  <c r="O113" i="11"/>
  <c r="I71" i="11"/>
  <c r="I107" i="11" s="1"/>
  <c r="E62" i="11"/>
  <c r="E98" i="11" s="1"/>
  <c r="F55" i="11"/>
  <c r="F91" i="11" s="1"/>
  <c r="I74" i="11"/>
  <c r="I110" i="11" s="1"/>
  <c r="D60" i="11"/>
  <c r="D96" i="11" s="1"/>
  <c r="J58" i="11"/>
  <c r="J94" i="11" s="1"/>
  <c r="H66" i="11"/>
  <c r="H102" i="11" s="1"/>
  <c r="K57" i="11"/>
  <c r="K93" i="11" s="1"/>
  <c r="F76" i="11"/>
  <c r="F112" i="11" s="1"/>
  <c r="H70" i="11"/>
  <c r="H106" i="11" s="1"/>
  <c r="K68" i="11"/>
  <c r="K104" i="11" s="1"/>
  <c r="F53" i="11"/>
  <c r="F89" i="11" s="1"/>
  <c r="D54" i="11"/>
  <c r="D90" i="11" s="1"/>
  <c r="F70" i="11"/>
  <c r="F106" i="11" s="1"/>
  <c r="D53" i="11"/>
  <c r="D89" i="11" s="1"/>
  <c r="H74" i="11"/>
  <c r="H110" i="11" s="1"/>
  <c r="I69" i="11"/>
  <c r="I105" i="11" s="1"/>
  <c r="E56" i="11"/>
  <c r="E92" i="11" s="1"/>
  <c r="H52" i="11"/>
  <c r="H88" i="11" s="1"/>
  <c r="I65" i="11"/>
  <c r="I101" i="11" s="1"/>
  <c r="L71" i="11"/>
  <c r="L107" i="11" s="1"/>
  <c r="H73" i="11"/>
  <c r="H109" i="11" s="1"/>
  <c r="J51" i="11"/>
  <c r="J87" i="11" s="1"/>
  <c r="J54" i="11"/>
  <c r="J90" i="11" s="1"/>
  <c r="G60" i="11"/>
  <c r="G96" i="11" s="1"/>
  <c r="E59" i="11"/>
  <c r="E95" i="11" s="1"/>
  <c r="H58" i="11"/>
  <c r="H94" i="11" s="1"/>
  <c r="H69" i="11"/>
  <c r="H105" i="11" s="1"/>
  <c r="D58" i="11"/>
  <c r="D94" i="11" s="1"/>
  <c r="L72" i="11"/>
  <c r="L108" i="11" s="1"/>
  <c r="N114" i="11"/>
  <c r="I72" i="11"/>
  <c r="I108" i="11" s="1"/>
  <c r="J53" i="11"/>
  <c r="J89" i="11" s="1"/>
  <c r="J62" i="11"/>
  <c r="J98" i="11" s="1"/>
  <c r="H53" i="11"/>
  <c r="H89" i="11" s="1"/>
  <c r="J69" i="11"/>
  <c r="J105" i="11" s="1"/>
  <c r="I64" i="11"/>
  <c r="I100" i="11" s="1"/>
  <c r="G62" i="11"/>
  <c r="G98" i="11" s="1"/>
  <c r="E73" i="11"/>
  <c r="E109" i="11" s="1"/>
  <c r="I54" i="11"/>
  <c r="I90" i="11" s="1"/>
  <c r="D50" i="11"/>
  <c r="D86" i="11" s="1"/>
  <c r="D64" i="11"/>
  <c r="D100" i="11" s="1"/>
  <c r="J50" i="11"/>
  <c r="J86" i="11" s="1"/>
  <c r="M110" i="11"/>
  <c r="E54" i="11"/>
  <c r="E90" i="11" s="1"/>
  <c r="F73" i="11"/>
  <c r="F109" i="11" s="1"/>
  <c r="I75" i="11"/>
  <c r="I111" i="11" s="1"/>
  <c r="J67" i="11"/>
  <c r="J103" i="11" s="1"/>
  <c r="O111" i="11"/>
  <c r="G70" i="11"/>
  <c r="G106" i="11" s="1"/>
  <c r="L59" i="11"/>
  <c r="L95" i="11" s="1"/>
  <c r="I77" i="11"/>
  <c r="I113" i="11" s="1"/>
  <c r="H63" i="11"/>
  <c r="H99" i="11" s="1"/>
  <c r="H50" i="11"/>
  <c r="H86" i="11" s="1"/>
  <c r="M111" i="11"/>
  <c r="F59" i="11"/>
  <c r="F95" i="11" s="1"/>
  <c r="E60" i="11"/>
  <c r="E96" i="11" s="1"/>
  <c r="J56" i="11"/>
  <c r="J92" i="11" s="1"/>
  <c r="K72" i="11"/>
  <c r="K108" i="11" s="1"/>
  <c r="E50" i="11"/>
  <c r="E86" i="11" s="1"/>
  <c r="I66" i="11"/>
  <c r="I102" i="11" s="1"/>
  <c r="L57" i="11"/>
  <c r="L93" i="11" s="1"/>
  <c r="L65" i="11"/>
  <c r="L101" i="11" s="1"/>
  <c r="N113" i="11"/>
  <c r="I78" i="11"/>
  <c r="I114" i="11" s="1"/>
  <c r="H51" i="11"/>
  <c r="H87" i="11" s="1"/>
  <c r="H77" i="11"/>
  <c r="H113" i="11" s="1"/>
  <c r="O110" i="11"/>
  <c r="L74" i="11"/>
  <c r="L110" i="11" s="1"/>
  <c r="F78" i="11"/>
  <c r="F114" i="11" s="1"/>
  <c r="G65" i="11"/>
  <c r="G101" i="11" s="1"/>
  <c r="H62" i="11"/>
  <c r="H98" i="11" s="1"/>
  <c r="F56" i="11"/>
  <c r="F92" i="11" s="1"/>
  <c r="E57" i="11"/>
  <c r="E93" i="11" s="1"/>
  <c r="H55" i="11"/>
  <c r="H91" i="11" s="1"/>
  <c r="L70" i="11"/>
  <c r="L106" i="11" s="1"/>
  <c r="J77" i="11"/>
  <c r="J113" i="11" s="1"/>
  <c r="G57" i="11"/>
  <c r="G93" i="11" s="1"/>
  <c r="I58" i="11"/>
  <c r="I94" i="11" s="1"/>
  <c r="F77" i="11"/>
  <c r="F113" i="11" s="1"/>
  <c r="K64" i="11"/>
  <c r="K100" i="11" s="1"/>
  <c r="L69" i="11"/>
  <c r="L105" i="11" s="1"/>
  <c r="L61" i="11"/>
  <c r="L97" i="11" s="1"/>
  <c r="K52" i="11"/>
  <c r="K88" i="11" s="1"/>
  <c r="F63" i="11"/>
  <c r="F99" i="11" s="1"/>
  <c r="G55" i="11"/>
  <c r="G91" i="11" s="1"/>
  <c r="F69" i="11"/>
  <c r="F105" i="11" s="1"/>
  <c r="F61" i="11"/>
  <c r="F97" i="11" s="1"/>
  <c r="M113" i="11"/>
  <c r="J75" i="11"/>
  <c r="J111" i="11" s="1"/>
  <c r="H59" i="11"/>
  <c r="H95" i="11" s="1"/>
  <c r="L49" i="11"/>
  <c r="K49" i="11"/>
  <c r="G49" i="11"/>
  <c r="H49" i="11"/>
  <c r="F49" i="11"/>
  <c r="M49" i="11"/>
  <c r="N49" i="11"/>
  <c r="J49" i="11"/>
  <c r="E49" i="11"/>
  <c r="I49" i="11"/>
  <c r="D49" i="11"/>
  <c r="O57" i="11" l="1"/>
  <c r="O93" i="11" s="1"/>
  <c r="N53" i="11"/>
  <c r="N89" i="11" s="1"/>
  <c r="O73" i="11"/>
  <c r="O109" i="11" s="1"/>
  <c r="N74" i="11"/>
  <c r="M59" i="11"/>
  <c r="M95" i="11" s="1"/>
  <c r="O62" i="11"/>
  <c r="O98" i="11" s="1"/>
  <c r="N72" i="11"/>
  <c r="N108" i="11" s="1"/>
  <c r="N59" i="11"/>
  <c r="N95" i="11" s="1"/>
  <c r="N73" i="11"/>
  <c r="N109" i="11" s="1"/>
  <c r="O70" i="11"/>
  <c r="O106" i="11" s="1"/>
  <c r="M69" i="11"/>
  <c r="M105" i="11" s="1"/>
  <c r="M55" i="11"/>
  <c r="M91" i="11" s="1"/>
  <c r="M76" i="11"/>
  <c r="M74" i="11"/>
  <c r="O63" i="11"/>
  <c r="O99" i="11" s="1"/>
  <c r="O65" i="11"/>
  <c r="O101" i="11" s="1"/>
  <c r="O52" i="11"/>
  <c r="O88" i="11" s="1"/>
  <c r="N58" i="11"/>
  <c r="N94" i="11" s="1"/>
  <c r="N65" i="11"/>
  <c r="N101" i="11" s="1"/>
  <c r="O78" i="11"/>
  <c r="N70" i="11"/>
  <c r="N106" i="11" s="1"/>
  <c r="N52" i="11"/>
  <c r="N88" i="11" s="1"/>
  <c r="H56" i="11"/>
  <c r="H92" i="11" s="1"/>
  <c r="H60" i="11"/>
  <c r="H96" i="11" s="1"/>
  <c r="L54" i="11"/>
  <c r="L90" i="11" s="1"/>
  <c r="D75" i="11"/>
  <c r="D111" i="11" s="1"/>
  <c r="G58" i="11"/>
  <c r="G94" i="11" s="1"/>
  <c r="G53" i="11"/>
  <c r="G89" i="11" s="1"/>
  <c r="G67" i="11"/>
  <c r="G103" i="11" s="1"/>
  <c r="J78" i="11"/>
  <c r="J114" i="11" s="1"/>
  <c r="E63" i="11"/>
  <c r="E99" i="11" s="1"/>
  <c r="G77" i="11"/>
  <c r="G113" i="11" s="1"/>
  <c r="E77" i="11"/>
  <c r="E113" i="11" s="1"/>
  <c r="K69" i="11"/>
  <c r="K105" i="11" s="1"/>
  <c r="E78" i="11"/>
  <c r="E114" i="11" s="1"/>
  <c r="J59" i="11"/>
  <c r="J95" i="11" s="1"/>
  <c r="J65" i="11"/>
  <c r="J101" i="11" s="1"/>
  <c r="I60" i="11"/>
  <c r="I96" i="11" s="1"/>
  <c r="L62" i="11"/>
  <c r="L98" i="11" s="1"/>
  <c r="J72" i="11"/>
  <c r="J108" i="11" s="1"/>
  <c r="G72" i="11"/>
  <c r="G108" i="11" s="1"/>
  <c r="J63" i="11"/>
  <c r="J99" i="11" s="1"/>
  <c r="F57" i="11"/>
  <c r="F93" i="11" s="1"/>
  <c r="K74" i="11"/>
  <c r="K110" i="11" s="1"/>
  <c r="K73" i="11"/>
  <c r="K109" i="11" s="1"/>
  <c r="E68" i="11"/>
  <c r="E104" i="11" s="1"/>
  <c r="E76" i="11"/>
  <c r="E112" i="11" s="1"/>
  <c r="D57" i="11"/>
  <c r="D93" i="11" s="1"/>
  <c r="F52" i="11"/>
  <c r="F88" i="11" s="1"/>
  <c r="E65" i="11"/>
  <c r="E101" i="11" s="1"/>
  <c r="K59" i="11"/>
  <c r="K95" i="11" s="1"/>
  <c r="F67" i="11"/>
  <c r="F103" i="11" s="1"/>
  <c r="F75" i="11"/>
  <c r="F111" i="11" s="1"/>
  <c r="D76" i="11"/>
  <c r="D112" i="11" s="1"/>
  <c r="H71" i="11"/>
  <c r="H107" i="11" s="1"/>
  <c r="L63" i="11"/>
  <c r="L99" i="11" s="1"/>
  <c r="D69" i="11"/>
  <c r="D105" i="11" s="1"/>
  <c r="I59" i="11"/>
  <c r="I95" i="11" s="1"/>
  <c r="K50" i="11"/>
  <c r="K86" i="11" s="1"/>
  <c r="J61" i="11"/>
  <c r="J97" i="11" s="1"/>
  <c r="H54" i="11"/>
  <c r="H90" i="11" s="1"/>
  <c r="I55" i="11"/>
  <c r="I91" i="11" s="1"/>
  <c r="F60" i="11"/>
  <c r="F96" i="11" s="1"/>
  <c r="L55" i="11"/>
  <c r="L91" i="11" s="1"/>
  <c r="L66" i="11"/>
  <c r="L102" i="11" s="1"/>
  <c r="D56" i="11"/>
  <c r="D92" i="11" s="1"/>
  <c r="E75" i="11"/>
  <c r="E111" i="11" s="1"/>
  <c r="G78" i="11"/>
  <c r="G114" i="11" s="1"/>
  <c r="L68" i="11"/>
  <c r="L104" i="11" s="1"/>
  <c r="L52" i="11"/>
  <c r="L88" i="11" s="1"/>
  <c r="D78" i="11"/>
  <c r="D114" i="11" s="1"/>
  <c r="F51" i="11"/>
  <c r="F87" i="11" s="1"/>
  <c r="H61" i="11"/>
  <c r="H97" i="11" s="1"/>
  <c r="D61" i="11"/>
  <c r="D97" i="11" s="1"/>
  <c r="E51" i="11"/>
  <c r="E87" i="11" s="1"/>
  <c r="H67" i="11"/>
  <c r="H103" i="11" s="1"/>
  <c r="G64" i="11"/>
  <c r="G100" i="11" s="1"/>
  <c r="E70" i="11"/>
  <c r="E106" i="11" s="1"/>
  <c r="I62" i="11"/>
  <c r="I98" i="11" s="1"/>
  <c r="H57" i="11"/>
  <c r="H93" i="11" s="1"/>
  <c r="K62" i="11"/>
  <c r="K98" i="11" s="1"/>
  <c r="D77" i="11"/>
  <c r="D113" i="11" s="1"/>
  <c r="J74" i="11"/>
  <c r="J110" i="11" s="1"/>
  <c r="I61" i="11"/>
  <c r="I97" i="11" s="1"/>
  <c r="M72" i="11"/>
  <c r="M108" i="11" s="1"/>
  <c r="M51" i="11"/>
  <c r="M87" i="11" s="1"/>
  <c r="N51" i="11"/>
  <c r="N87" i="11" s="1"/>
  <c r="O53" i="11"/>
  <c r="O89" i="11" s="1"/>
  <c r="M60" i="11"/>
  <c r="M96" i="11" s="1"/>
  <c r="M57" i="11"/>
  <c r="M93" i="11" s="1"/>
  <c r="N60" i="11"/>
  <c r="N96" i="11" s="1"/>
  <c r="O54" i="11"/>
  <c r="O90" i="11" s="1"/>
  <c r="O68" i="11"/>
  <c r="O104" i="11" s="1"/>
  <c r="O67" i="11"/>
  <c r="O103" i="11" s="1"/>
  <c r="O55" i="11"/>
  <c r="O91" i="11" s="1"/>
  <c r="N56" i="11"/>
  <c r="N92" i="11" s="1"/>
  <c r="N62" i="11"/>
  <c r="N98" i="11" s="1"/>
  <c r="N68" i="11"/>
  <c r="N104" i="11" s="1"/>
  <c r="O77" i="11"/>
  <c r="N50" i="11"/>
  <c r="N86" i="11" s="1"/>
  <c r="M65" i="11"/>
  <c r="M101" i="11" s="1"/>
  <c r="O66" i="11"/>
  <c r="O102" i="11" s="1"/>
  <c r="N69" i="11"/>
  <c r="N105" i="11" s="1"/>
  <c r="O56" i="11"/>
  <c r="O92" i="11" s="1"/>
  <c r="N71" i="11"/>
  <c r="N107" i="11" s="1"/>
  <c r="M53" i="11"/>
  <c r="M89" i="11" s="1"/>
  <c r="G61" i="11"/>
  <c r="G97" i="11" s="1"/>
  <c r="F50" i="11"/>
  <c r="F86" i="11" s="1"/>
  <c r="D52" i="11"/>
  <c r="D88" i="11" s="1"/>
  <c r="D67" i="11"/>
  <c r="D103" i="11" s="1"/>
  <c r="L50" i="11"/>
  <c r="L86" i="11" s="1"/>
  <c r="F64" i="11"/>
  <c r="F100" i="11" s="1"/>
  <c r="G66" i="11"/>
  <c r="G102" i="11" s="1"/>
  <c r="J73" i="11"/>
  <c r="J109" i="11" s="1"/>
  <c r="E55" i="11"/>
  <c r="E91" i="11" s="1"/>
  <c r="D59" i="11"/>
  <c r="D95" i="11" s="1"/>
  <c r="F54" i="11"/>
  <c r="F90" i="11" s="1"/>
  <c r="J52" i="11"/>
  <c r="J88" i="11" s="1"/>
  <c r="E71" i="11"/>
  <c r="E107" i="11" s="1"/>
  <c r="D70" i="11"/>
  <c r="D106" i="11" s="1"/>
  <c r="K77" i="11"/>
  <c r="K113" i="11" s="1"/>
  <c r="G51" i="11"/>
  <c r="G87" i="11" s="1"/>
  <c r="K76" i="11"/>
  <c r="K112" i="11" s="1"/>
  <c r="L73" i="11"/>
  <c r="L109" i="11" s="1"/>
  <c r="H78" i="11"/>
  <c r="H114" i="11" s="1"/>
  <c r="G76" i="11"/>
  <c r="G112" i="11" s="1"/>
  <c r="E58" i="11"/>
  <c r="E94" i="11" s="1"/>
  <c r="G59" i="11"/>
  <c r="G95" i="11" s="1"/>
  <c r="K70" i="11"/>
  <c r="K106" i="11" s="1"/>
  <c r="L75" i="11"/>
  <c r="L111" i="11" s="1"/>
  <c r="E52" i="11"/>
  <c r="E88" i="11" s="1"/>
  <c r="I68" i="11"/>
  <c r="I104" i="11" s="1"/>
  <c r="K71" i="11"/>
  <c r="K107" i="11" s="1"/>
  <c r="I53" i="11"/>
  <c r="I89" i="11" s="1"/>
  <c r="E72" i="11"/>
  <c r="E108" i="11" s="1"/>
  <c r="K55" i="11"/>
  <c r="K91" i="11" s="1"/>
  <c r="E66" i="11"/>
  <c r="E102" i="11" s="1"/>
  <c r="K56" i="11"/>
  <c r="K92" i="11" s="1"/>
  <c r="I76" i="11"/>
  <c r="I112" i="11" s="1"/>
  <c r="D68" i="11"/>
  <c r="D104" i="11" s="1"/>
  <c r="E74" i="11"/>
  <c r="E110" i="11" s="1"/>
  <c r="H75" i="11"/>
  <c r="H111" i="11" s="1"/>
  <c r="D63" i="11"/>
  <c r="D99" i="11" s="1"/>
  <c r="L67" i="11"/>
  <c r="L103" i="11" s="1"/>
  <c r="J60" i="11"/>
  <c r="J96" i="11" s="1"/>
  <c r="F71" i="11"/>
  <c r="F107" i="11" s="1"/>
  <c r="J66" i="11"/>
  <c r="J102" i="11" s="1"/>
  <c r="D65" i="11"/>
  <c r="D101" i="11" s="1"/>
  <c r="G68" i="11"/>
  <c r="G104" i="11" s="1"/>
  <c r="F68" i="11"/>
  <c r="F104" i="11" s="1"/>
  <c r="F65" i="11"/>
  <c r="F101" i="11" s="1"/>
  <c r="J55" i="11"/>
  <c r="J91" i="11" s="1"/>
  <c r="D66" i="11"/>
  <c r="D102" i="11" s="1"/>
  <c r="D74" i="11"/>
  <c r="D110" i="11" s="1"/>
  <c r="J71" i="11"/>
  <c r="J107" i="11" s="1"/>
  <c r="L60" i="11"/>
  <c r="L96" i="11" s="1"/>
  <c r="G73" i="11"/>
  <c r="G109" i="11" s="1"/>
  <c r="D55" i="11"/>
  <c r="D91" i="11" s="1"/>
  <c r="K58" i="11"/>
  <c r="K94" i="11" s="1"/>
  <c r="L77" i="11"/>
  <c r="L113" i="11" s="1"/>
  <c r="D71" i="11"/>
  <c r="D107" i="11" s="1"/>
  <c r="G54" i="11"/>
  <c r="G90" i="11" s="1"/>
  <c r="I67" i="11"/>
  <c r="I103" i="11" s="1"/>
  <c r="K75" i="11"/>
  <c r="K111" i="11" s="1"/>
  <c r="K51" i="11"/>
  <c r="K87" i="11" s="1"/>
  <c r="I51" i="11"/>
  <c r="I87" i="11" s="1"/>
  <c r="L58" i="11"/>
  <c r="L94" i="11" s="1"/>
  <c r="G71" i="11"/>
  <c r="G107" i="11" s="1"/>
  <c r="K78" i="11"/>
  <c r="K114" i="11" s="1"/>
  <c r="O60" i="11"/>
  <c r="O96" i="11" s="1"/>
  <c r="N67" i="11"/>
  <c r="N103" i="11" s="1"/>
  <c r="M50" i="11"/>
  <c r="M86" i="11" s="1"/>
  <c r="M63" i="11"/>
  <c r="M99" i="11" s="1"/>
  <c r="O61" i="11"/>
  <c r="O97" i="11" s="1"/>
  <c r="O76" i="11"/>
  <c r="O72" i="11"/>
  <c r="O108" i="11" s="1"/>
  <c r="E85" i="11"/>
  <c r="L85" i="11"/>
  <c r="N85" i="11"/>
  <c r="O85" i="11"/>
  <c r="O115" i="11" s="1"/>
  <c r="O116" i="11" s="1"/>
  <c r="I85" i="11"/>
  <c r="F85" i="11"/>
  <c r="G85" i="11"/>
  <c r="M85" i="11"/>
  <c r="M115" i="11" s="1"/>
  <c r="M116" i="11" s="1"/>
  <c r="H85" i="11"/>
  <c r="D85" i="11"/>
  <c r="K85" i="11"/>
  <c r="J85" i="11"/>
  <c r="J115" i="11" s="1"/>
  <c r="J116" i="11" s="1"/>
  <c r="G115" i="11" l="1"/>
  <c r="G116" i="11" s="1"/>
  <c r="D115" i="11"/>
  <c r="D116" i="11" s="1"/>
  <c r="F115" i="11"/>
  <c r="F116" i="11" s="1"/>
  <c r="L115" i="11"/>
  <c r="L116" i="11" s="1"/>
  <c r="K115" i="11"/>
  <c r="K116" i="11" s="1"/>
  <c r="G121" i="11" s="1"/>
  <c r="G127" i="11" s="1"/>
  <c r="K14" i="7" s="1"/>
  <c r="I115" i="11"/>
  <c r="I116" i="11" s="1"/>
  <c r="H115" i="11"/>
  <c r="H116" i="11" s="1"/>
  <c r="E115" i="11"/>
  <c r="E116" i="11" s="1"/>
  <c r="E121" i="11" s="1"/>
  <c r="E127" i="11" s="1"/>
  <c r="I14" i="7" s="1"/>
  <c r="N115" i="11"/>
  <c r="N116" i="11" s="1"/>
  <c r="H122" i="11" s="1"/>
  <c r="H128" i="11" s="1"/>
  <c r="G122" i="11" l="1"/>
  <c r="G128" i="11" s="1"/>
  <c r="F122" i="11"/>
  <c r="F128" i="11" s="1"/>
  <c r="H121" i="11"/>
  <c r="H127" i="11" s="1"/>
  <c r="F121" i="11"/>
  <c r="F127" i="11" s="1"/>
  <c r="J14" i="7" s="1"/>
  <c r="E122" i="11"/>
  <c r="E128" i="11" s="1"/>
</calcChain>
</file>

<file path=xl/comments1.xml><?xml version="1.0" encoding="utf-8"?>
<comments xmlns="http://schemas.openxmlformats.org/spreadsheetml/2006/main">
  <authors>
    <author>Debbie Pickering</author>
  </authors>
  <commentList>
    <comment ref="H6" authorId="0" shapeId="0">
      <text>
        <r>
          <rPr>
            <b/>
            <sz val="9"/>
            <color indexed="81"/>
            <rFont val="Tahoma"/>
            <family val="2"/>
          </rPr>
          <t>Debbie Pickering:</t>
        </r>
        <r>
          <rPr>
            <sz val="9"/>
            <color indexed="81"/>
            <rFont val="Tahoma"/>
            <family val="2"/>
          </rPr>
          <t xml:space="preserve">
Do we still need this? If so, how to populate it?</t>
        </r>
      </text>
    </comment>
    <comment ref="I6" authorId="0" shapeId="0">
      <text>
        <r>
          <rPr>
            <b/>
            <sz val="9"/>
            <color indexed="81"/>
            <rFont val="Tahoma"/>
            <family val="2"/>
          </rPr>
          <t>Debbie Pickering:</t>
        </r>
        <r>
          <rPr>
            <sz val="9"/>
            <color indexed="81"/>
            <rFont val="Tahoma"/>
            <family val="2"/>
          </rPr>
          <t xml:space="preserve">
This column will be dropped once we cross-walk with Rule Name as needed</t>
        </r>
      </text>
    </comment>
  </commentList>
</comments>
</file>

<file path=xl/sharedStrings.xml><?xml version="1.0" encoding="utf-8"?>
<sst xmlns="http://schemas.openxmlformats.org/spreadsheetml/2006/main" count="838" uniqueCount="488">
  <si>
    <t>Water Quality</t>
  </si>
  <si>
    <t>Enter 1 for yes. Enter 0 for no.</t>
  </si>
  <si>
    <t>Species Composition</t>
  </si>
  <si>
    <t>References</t>
  </si>
  <si>
    <t>Landscape Context</t>
  </si>
  <si>
    <t>WQ1</t>
  </si>
  <si>
    <t>LC1</t>
  </si>
  <si>
    <t>HF1</t>
  </si>
  <si>
    <t>HF3</t>
  </si>
  <si>
    <t>Data Confidence Rating</t>
  </si>
  <si>
    <t>RULE CODE</t>
  </si>
  <si>
    <t>Steelhead</t>
  </si>
  <si>
    <t>Coho Salmon</t>
  </si>
  <si>
    <t>Chinook Salmon</t>
  </si>
  <si>
    <t>Yes</t>
  </si>
  <si>
    <t>No</t>
  </si>
  <si>
    <t>Fully Blocked</t>
  </si>
  <si>
    <t>Checkbox</t>
  </si>
  <si>
    <t>X</t>
  </si>
  <si>
    <t>Answer</t>
  </si>
  <si>
    <t>Passage Status</t>
  </si>
  <si>
    <t>http://www.dfw.state.or.us/wildlife/diversity/species/sensitive_species.asp</t>
  </si>
  <si>
    <t>DSL Essential Salmon Habitat</t>
  </si>
  <si>
    <t xml:space="preserve">ODFW State Sensitive Species list    </t>
  </si>
  <si>
    <t>http://www.dfw.state.or.us/wildlife/diversity/species/threatened_endangered_candidate_list.asp</t>
  </si>
  <si>
    <t>Threatened, Endangered, and Candidate Fish and Wildlife Species</t>
  </si>
  <si>
    <t>Species</t>
  </si>
  <si>
    <t>State Status</t>
  </si>
  <si>
    <t>Federal Status</t>
  </si>
  <si>
    <t>E</t>
  </si>
  <si>
    <t>T</t>
  </si>
  <si>
    <t>Lower Columbia River Coho Salmon</t>
  </si>
  <si>
    <t>Oregon Coast Coho Salmon</t>
  </si>
  <si>
    <t>WQ2</t>
  </si>
  <si>
    <t>% class 1: late seral vegetation, including old growth and mature second growth riparian forests</t>
  </si>
  <si>
    <t>SC2</t>
  </si>
  <si>
    <t>Abstract</t>
  </si>
  <si>
    <t xml:space="preserve">Habrate: A Limiting Factors Model for Assessing Stream Habitat Quality </t>
  </si>
  <si>
    <t>Jennifer L. Burke, Kim K. Jones, and Jeffrey M. Dambacher
Oregon Department of Fish and Wildlife, Conservation and Recovery, Aquatic Inventories Program
28655 Highway 34, Corvallis, OR  97333
(541) 757-4263</t>
  </si>
  <si>
    <t xml:space="preserve">     Fishery managers are commonly tasked with the basic question “Will the contemporary habitat above a barrier support the fish populations that historically resided in the watershed?” Managers in central Oregon were confronted with that question in an effort to reestablish fish populations in 375 kilometers of stream above the Round Butte-Pelton Dam complex (Rkm 161) on the Deschutes River.  Stream surveys had been conducted in most of the available stream habitat, but had not been synthesized in a form that allowed managers to view the quality and complexity of stream habitat in an easily-understandable fashion.  In response, we developed a limiting factors model (HabRate) that assessed the potential quality of stream habitat using stream survey data for each juvenile life stage of salmon and steelhead.  The model was developed for a specific application to the middle Deschutes River basin in Oregon, but was intended for general application to Pacific Northwest basins.  To paramatize the model, we summarized available literature on salmonid habitat requirements.  Habitat criteria  were developed for discrete life history stages (i.e. spawning, egg survival, emergence, summer rearing, and winter rearing) and used to rate the quality of stream reaches as poor, fair, or good, based on attributes relating to stream substrate, habitat unit type, cover, gradient, temperature, and flow.  Reach level summaries of stream habitat data were entered into MS Excel, and interpreted by a series of algorithms to provide a limiting factor assessment of potential egg-to-fry and fry-to-parr survival for each reach.  Model output lists habitat quality by species and life stage for each reach of stream.  The model is a decision making tool that is intended  to provide a qualitative assessment of the habitat potential of stream reaches within a basin context.  Design criteria for the model were simplicity, flexibility, and transparency.  While HabRate was based on our interpretations of the published literature, specific criteria for habitat quality were structured to be easily adjusted where interpretations differ from ours.  Information not common to standard stream survey designs, such as seasonal flow or temperature extremes can be included as input from professional judgment.  The results were integrated into a GIS coverage coupled with the stream network and habitat data to provide a comprehensive map-based perspective of habitat quality in a watershed.  </t>
  </si>
  <si>
    <t>Citation: Burke, J. L, K. K. Jones, and J. M. Dambacher.  2010.  Habrate: A Limiting Factors Model for Assessing Stream Habitat Quality for Salmon and Steelhead in the Deschutes River Basin.  Information Report 2010-03, Oregon Department of Fish and Wildlife, Corvallis.</t>
  </si>
  <si>
    <t>%</t>
  </si>
  <si>
    <t>References Cited:</t>
  </si>
  <si>
    <r>
      <rPr>
        <b/>
        <sz val="11"/>
        <color theme="1"/>
        <rFont val="Calibri"/>
        <family val="2"/>
        <scheme val="minor"/>
      </rPr>
      <t>Burke, J. L, K. K. Jones, and J. M. Dambacher.  2010.</t>
    </r>
    <r>
      <rPr>
        <sz val="11"/>
        <color theme="1"/>
        <rFont val="Calibri"/>
        <family val="2"/>
        <scheme val="minor"/>
      </rPr>
      <t xml:space="preserve">  Habrate: A Limiting Factors Model for Assessing Stream Habitat Quality for Salmon and Steelhead in the Deschutes River Basin.  Information Report 2010-03, Oregon Department of Fish and Wildlife, Corvallis.</t>
    </r>
  </si>
  <si>
    <r>
      <rPr>
        <b/>
        <sz val="11"/>
        <color theme="1"/>
        <rFont val="Calibri"/>
        <family val="2"/>
        <scheme val="minor"/>
      </rPr>
      <t>Foster, S.C, C.H. Stein, and K.K. Jones. 2001.</t>
    </r>
    <r>
      <rPr>
        <sz val="11"/>
        <color theme="1"/>
        <rFont val="Calibri"/>
        <family val="2"/>
        <scheme val="minor"/>
      </rPr>
      <t xml:space="preserve"> A Guide To Interpreting Stream Survey Reports. Aquatic Inventories Project, Natural Production Program, Oregon Department of Fish And Wildlife. Portland, Oregon.</t>
    </r>
  </si>
  <si>
    <r>
      <rPr>
        <b/>
        <sz val="11"/>
        <color theme="1"/>
        <rFont val="Calibri"/>
        <family val="2"/>
        <scheme val="minor"/>
      </rPr>
      <t>Loffink, K. 2013.</t>
    </r>
    <r>
      <rPr>
        <sz val="11"/>
        <color theme="1"/>
        <rFont val="Calibri"/>
        <family val="2"/>
        <scheme val="minor"/>
      </rPr>
      <t xml:space="preserve"> Fish Passage Priority List. Oregon Department of Fish and Wildlife Fish Screening and Passage Program. Salem, Oregon.</t>
    </r>
  </si>
  <si>
    <r>
      <rPr>
        <b/>
        <sz val="11"/>
        <color theme="1"/>
        <rFont val="Calibri"/>
        <family val="2"/>
        <scheme val="minor"/>
      </rPr>
      <t>Maher, M., M.B. Sheer, E.A. Steel, and P. McElhany. 2005.</t>
    </r>
    <r>
      <rPr>
        <sz val="11"/>
        <color theme="1"/>
        <rFont val="Calibri"/>
        <family val="2"/>
        <scheme val="minor"/>
      </rPr>
      <t xml:space="preserve"> Atlas of Salmon and Steelhead Habitat in the Oregon Lower Columbia and Willamette Basins. NOAA Fisheries Northwest Fisheries Science Center, Seattle, Washington.</t>
    </r>
  </si>
  <si>
    <t>http://oregonstate.edu/inr/ilap</t>
  </si>
  <si>
    <t>Integrated Landscape Assessment Project</t>
  </si>
  <si>
    <r>
      <rPr>
        <b/>
        <sz val="11"/>
        <color theme="1"/>
        <rFont val="Calibri"/>
        <family val="2"/>
        <scheme val="minor"/>
      </rPr>
      <t>Martin, E. H. and Apse, C.D. 2013.</t>
    </r>
    <r>
      <rPr>
        <sz val="11"/>
        <color theme="1"/>
        <rFont val="Calibri"/>
        <family val="2"/>
        <scheme val="minor"/>
      </rPr>
      <t xml:space="preserve"> Chesapeake Fish Passage Prioritization: An Assessment of Dams in the Chesapeake Bay Watershed. The Nature Conservancy, Eastern Division Conservation Science. http://maps.tnc.org/erof_ChesapeakeFPP </t>
    </r>
  </si>
  <si>
    <r>
      <rPr>
        <b/>
        <sz val="11"/>
        <color theme="1"/>
        <rFont val="Calibri"/>
        <family val="2"/>
        <scheme val="minor"/>
      </rPr>
      <t>U.S. Department of Agriculture and U.S. Department of Interior (USDA and USDI). 2005.</t>
    </r>
    <r>
      <rPr>
        <sz val="11"/>
        <color theme="1"/>
        <rFont val="Calibri"/>
        <family val="2"/>
        <scheme val="minor"/>
      </rPr>
      <t xml:space="preserve"> Northwest Forest Plan Aquatic Conservation Strategy; The Implementation of the Northwest Forest Plan Aquatic Conservation Strategy on BLM and FS-administered lands within the Oregon Coastal Coho ESU. Submitted to State of Oregon, Oregon Plan for Salmon and Watersheds Assessment Team, Salem, Oregon.</t>
    </r>
  </si>
  <si>
    <t xml:space="preserve"> If &lt;0.25 crossings/mi, select A. If 0.25-1 crossings/mi, select B. If &gt;1 crossing/mi, select C.</t>
  </si>
  <si>
    <t>If &lt;20%, select A, if 20-40%, select B, if &gt;40%, select C</t>
  </si>
  <si>
    <t>WC4</t>
  </si>
  <si>
    <t>AREMP 2005</t>
  </si>
  <si>
    <t>C</t>
  </si>
  <si>
    <t>Name of Project Site:</t>
  </si>
  <si>
    <t>Date Field Assessed:</t>
  </si>
  <si>
    <t>Data Collector:</t>
  </si>
  <si>
    <t>Project Number:</t>
  </si>
  <si>
    <t>%Pass</t>
  </si>
  <si>
    <t>NNSpec</t>
  </si>
  <si>
    <t>%FuncRip</t>
  </si>
  <si>
    <t>Entrench</t>
  </si>
  <si>
    <t>DEQ303d</t>
  </si>
  <si>
    <t>%AgNLCD</t>
  </si>
  <si>
    <t>RoadDens</t>
  </si>
  <si>
    <t>%Protect</t>
  </si>
  <si>
    <t>StrmXDen</t>
  </si>
  <si>
    <t>HabArea</t>
  </si>
  <si>
    <t>TotMiles</t>
  </si>
  <si>
    <t>%ProtRip</t>
  </si>
  <si>
    <t xml:space="preserve">What percent of the historical floodplain area has been excluded from overbank or tidal inundation? </t>
  </si>
  <si>
    <t>Floodpln</t>
  </si>
  <si>
    <t>If &lt;10%, select A. If 10 - 20%, select B. If 21 - 50%, select C. If &gt;50%, select D.</t>
  </si>
  <si>
    <t xml:space="preserve">http://www.oregon.gov/dsl/PERMITS/Pages/esshabitat.aspx </t>
  </si>
  <si>
    <t>Date:</t>
  </si>
  <si>
    <t>Field Assessor:</t>
  </si>
  <si>
    <t>Miles of habitat data above the barrier</t>
  </si>
  <si>
    <t>Miles</t>
  </si>
  <si>
    <t>Data entry cells</t>
  </si>
  <si>
    <t>Landscape-Level Connectivity</t>
  </si>
  <si>
    <t>Floodplain Interaction</t>
  </si>
  <si>
    <t>Riparian Condition</t>
  </si>
  <si>
    <t>%Hdata</t>
  </si>
  <si>
    <t>% class 2: mid seral vegetation, including maturing second and third growth riparian forests</t>
  </si>
  <si>
    <t>If &gt; 50%, select A, if 25-50%, select B, if &lt; 25%, enter C</t>
  </si>
  <si>
    <r>
      <rPr>
        <b/>
        <sz val="10"/>
        <color theme="1"/>
        <rFont val="Calibri"/>
        <family val="2"/>
        <scheme val="minor"/>
      </rPr>
      <t xml:space="preserve">Code 1 Protected &amp; Preservation: </t>
    </r>
    <r>
      <rPr>
        <sz val="10"/>
        <color theme="1"/>
        <rFont val="Calibri"/>
        <family val="2"/>
        <scheme val="minor"/>
      </rPr>
      <t>The first management category (Code 1) is used to encompass areas that are legally dedicated to protection and preservation of the characteristic of natural landscape (Wilderness, Congressional Reserve, National Parks). Additionally it contains slightly less restrictive managemnt and may allow for more adjustments in management practices (Regional conservation reserves/preserves, Late Successional Reserves, Wilderness Study Areas, Visual Resource Management Class 1).</t>
    </r>
  </si>
  <si>
    <r>
      <rPr>
        <b/>
        <sz val="10"/>
        <color theme="1"/>
        <rFont val="Calibri"/>
        <family val="2"/>
        <scheme val="minor"/>
      </rPr>
      <t xml:space="preserve">Code 3 Retention: </t>
    </r>
    <r>
      <rPr>
        <sz val="10"/>
        <color theme="1"/>
        <rFont val="Calibri"/>
        <family val="2"/>
        <scheme val="minor"/>
      </rPr>
      <t xml:space="preserve">Code 3 has more of an emphasis on retention of forested areas or native vegetation for a variety of reasons such as the conservation of endangered species or for maintaining forested corridors along areas of visual or biological importance (Municipal Watersheds, Corridors for visual/riparian/biodiversity, Endangered/threatened species management, Other values of importance, Private conservation areas, Wildlife Refuges, Visual Resource Management Class 2).  </t>
    </r>
  </si>
  <si>
    <r>
      <rPr>
        <b/>
        <sz val="10"/>
        <color theme="1"/>
        <rFont val="Calibri"/>
        <family val="2"/>
        <scheme val="minor"/>
      </rPr>
      <t xml:space="preserve">Code 4 Partial Retention: </t>
    </r>
    <r>
      <rPr>
        <sz val="10"/>
        <color theme="1"/>
        <rFont val="Calibri"/>
        <family val="2"/>
        <scheme val="minor"/>
      </rPr>
      <t xml:space="preserve">Code 4 is based mainly on partial-retention with the potential for longer rotations or more experimental management strategies (Partial retention, Adaptive Management Areas, Experimental Forests, Other wildlife areas , Primitive recreation usage, Visual Resource Management Class 3). </t>
    </r>
  </si>
  <si>
    <r>
      <rPr>
        <b/>
        <sz val="10"/>
        <color theme="1"/>
        <rFont val="Calibri"/>
        <family val="2"/>
        <scheme val="minor"/>
      </rPr>
      <t xml:space="preserve">Code 5 Modification: </t>
    </r>
    <r>
      <rPr>
        <sz val="10"/>
        <color theme="1"/>
        <rFont val="Calibri"/>
        <family val="2"/>
        <scheme val="minor"/>
      </rPr>
      <t xml:space="preserve">Code 5 is associated with major modification of the landscape and includes general forestry, developed recreation (off road vehicle use, ski areas), mining, or grazing on public land (General forestry w/ habitat modification, NWFP Matrix, Developed recreation, Visual Resource Management Class 4). </t>
    </r>
  </si>
  <si>
    <r>
      <rPr>
        <b/>
        <sz val="10"/>
        <color theme="1"/>
        <rFont val="Calibri"/>
        <family val="2"/>
        <scheme val="minor"/>
      </rPr>
      <t xml:space="preserve">Code 6 Modification Private: </t>
    </r>
    <r>
      <rPr>
        <sz val="10"/>
        <color theme="1"/>
        <rFont val="Calibri"/>
        <family val="2"/>
        <scheme val="minor"/>
      </rPr>
      <t xml:space="preserve">Code 6 is specific to privately owned lands which may be less restrictive than public lands may or may not remain committed towards natural resource management over time.  </t>
    </r>
  </si>
  <si>
    <t>T&amp;E Fish species (OR, Fed status)</t>
  </si>
  <si>
    <r>
      <rPr>
        <b/>
        <sz val="11"/>
        <color theme="1"/>
        <rFont val="Calibri"/>
        <family val="2"/>
        <scheme val="minor"/>
      </rPr>
      <t>Aquatic and Riparian Effectiveness Monitoring Program (AREMP) Staff. 2005.</t>
    </r>
    <r>
      <rPr>
        <sz val="11"/>
        <color theme="1"/>
        <rFont val="Calibri"/>
        <family val="2"/>
        <scheme val="minor"/>
      </rPr>
      <t xml:space="preserve"> Watershed Monitoring for the Northwest Forest Plan, Data Summary Interpretation 2005, Oregon/Washington Coast Province. USDA Forest Service, Pacific Northwest Regional Office; Bureau of Land Management, Oregon State Office; 4077 S.W. Research Way, Corvallis, OR 97333. http://www.reo.gov/monitoring/watershed </t>
    </r>
  </si>
  <si>
    <r>
      <rPr>
        <b/>
        <sz val="11"/>
        <color theme="1"/>
        <rFont val="Calibri"/>
        <family val="2"/>
        <scheme val="minor"/>
      </rPr>
      <t>Aquatic Inventory Attributes used in the HabRate Calculations:</t>
    </r>
    <r>
      <rPr>
        <sz val="11"/>
        <color theme="1"/>
        <rFont val="Calibri"/>
        <family val="2"/>
        <scheme val="minor"/>
      </rPr>
      <t xml:space="preserve"> % gradient, unit width, active channel width, floodprone width, % pools, scour pool depth, riffle depth, large boulders/100m, % fines, % gravel, % cobble, % boulder, pieces of large wooody debris (LWD)/100m, % undercut, residual pool depth, average pieces LWD in pools, average keypieces LWD in pools, and average % sheltered pools</t>
    </r>
  </si>
  <si>
    <t xml:space="preserve"> If &gt;50%, select A. If 35-50%, select B. If 15-34%, select C. If &lt;15%, select D. If not known, leave blank.</t>
  </si>
  <si>
    <t>Category</t>
  </si>
  <si>
    <t>Weight</t>
  </si>
  <si>
    <t>Composite Indicator Description</t>
  </si>
  <si>
    <t>Instream habitat</t>
  </si>
  <si>
    <t>Instream</t>
  </si>
  <si>
    <t>Supporting Landscape Context</t>
  </si>
  <si>
    <t>Riparian and Floodplain Interactions</t>
  </si>
  <si>
    <t>Reach</t>
  </si>
  <si>
    <t>CH_SE</t>
  </si>
  <si>
    <t>CH_S0</t>
  </si>
  <si>
    <t>CH_W0</t>
  </si>
  <si>
    <t>ST_SE</t>
  </si>
  <si>
    <t>ST_S0</t>
  </si>
  <si>
    <t>ST_W0</t>
  </si>
  <si>
    <t>CO_SE</t>
  </si>
  <si>
    <t>CO_S0</t>
  </si>
  <si>
    <t>CO_W0</t>
  </si>
  <si>
    <t>Landscape</t>
  </si>
  <si>
    <t>Nearstream</t>
  </si>
  <si>
    <t>Trace</t>
  </si>
  <si>
    <t>Somewhat</t>
  </si>
  <si>
    <t>Significant</t>
  </si>
  <si>
    <t>HabRate Results</t>
  </si>
  <si>
    <t>Year</t>
  </si>
  <si>
    <t>0-29%</t>
  </si>
  <si>
    <t>30-69%</t>
  </si>
  <si>
    <t>70-100%</t>
  </si>
  <si>
    <t>% Range</t>
  </si>
  <si>
    <t>SubScore</t>
  </si>
  <si>
    <t>Flooplain</t>
  </si>
  <si>
    <t>A: &lt; 10%</t>
  </si>
  <si>
    <t>B: 25-50%</t>
  </si>
  <si>
    <t>B: 10-20%</t>
  </si>
  <si>
    <t>C: 21-50%</t>
  </si>
  <si>
    <t>D: &gt;50%</t>
  </si>
  <si>
    <t>Road- StreamCrossings</t>
  </si>
  <si>
    <t>A: &lt; 0.25 crossings/mi</t>
  </si>
  <si>
    <t>B: 0.25-1 crossings/mi</t>
  </si>
  <si>
    <t>C: &gt;1 crossings/mi</t>
  </si>
  <si>
    <t>Contributing Area</t>
  </si>
  <si>
    <t>Road Density</t>
  </si>
  <si>
    <t>A: &lt; 20%</t>
  </si>
  <si>
    <t>A: &gt;50%</t>
  </si>
  <si>
    <t>B: 20-40%</t>
  </si>
  <si>
    <t>B: 35-50%</t>
  </si>
  <si>
    <t>C: &gt;40%</t>
  </si>
  <si>
    <t>D: &lt;15%</t>
  </si>
  <si>
    <t>Score (%)</t>
  </si>
  <si>
    <t>C: &lt;25%</t>
  </si>
  <si>
    <t>Not applicable</t>
  </si>
  <si>
    <t>Score:</t>
  </si>
  <si>
    <t xml:space="preserve">Score: </t>
  </si>
  <si>
    <t xml:space="preserve">Score:  </t>
  </si>
  <si>
    <t>RULE: Composite % to Composite Subscore</t>
  </si>
  <si>
    <t>Dropdown lists used in calculator and Rules applied in formulas</t>
  </si>
  <si>
    <t>LANDSCAPE INDICATORS</t>
  </si>
  <si>
    <t>C:  15-34%</t>
  </si>
  <si>
    <t>Non-native Species</t>
  </si>
  <si>
    <t>Do not enter data below.  Data will automatically transfer from the indicators worksheets.</t>
  </si>
  <si>
    <t>ST_S1</t>
  </si>
  <si>
    <t>ST_W2</t>
  </si>
  <si>
    <t>Composite Habitat Quality X Quantity by Reach</t>
  </si>
  <si>
    <t>ST_WO</t>
  </si>
  <si>
    <t>Do not modify</t>
  </si>
  <si>
    <t>% class 3: early seral vegetation, including a mix of young coniferous and/or primarily deciduous vegetation types, plus ‘other forested’ lands, clear cuts, brush, young deciduous forest</t>
  </si>
  <si>
    <t>Proportion of Functional Riparian Area
Equation: %Class1 + (% Class 2*0.92) + (% Class 3 * 0.66)+(% Class 4*0.04)</t>
  </si>
  <si>
    <t>Cell Count</t>
  </si>
  <si>
    <t>Total</t>
  </si>
  <si>
    <t>Count of cells in each class in the Riparian Buffer</t>
  </si>
  <si>
    <t>Entrench Ratio</t>
  </si>
  <si>
    <t>Cell Counts</t>
  </si>
  <si>
    <t>Linear Trans (miles)</t>
  </si>
  <si>
    <t>Density</t>
  </si>
  <si>
    <t>Number of Crossings</t>
  </si>
  <si>
    <t>*Exclude a crossing at the current site</t>
  </si>
  <si>
    <t>Chinook, spawning and emergence</t>
  </si>
  <si>
    <t>Steelhead, spawning and emergence</t>
  </si>
  <si>
    <t>Coho, spawning and emergence</t>
  </si>
  <si>
    <t>*Key to Species and life stage abbreviations</t>
  </si>
  <si>
    <t>HABITAT QUALITY  - COMPOSITE INDICATOR SUBSCORES</t>
  </si>
  <si>
    <t>Composite Subscore</t>
  </si>
  <si>
    <t>Composite Name</t>
  </si>
  <si>
    <t>Modifier for passage status at site:</t>
  </si>
  <si>
    <t>Eq: ((HabRate rating*Instream_Weight + Nearstream*Nearstream_Weight + Landscape *Landscape_Weight)/ (Instream_Weight +Nearstream_Weight +Landscape_Weight))</t>
  </si>
  <si>
    <t>Totals (acres)</t>
  </si>
  <si>
    <t>Chinook, summer rearing 0+</t>
  </si>
  <si>
    <t>Chinook, winter rearing 0+</t>
  </si>
  <si>
    <t>Steelhead, summer rearing 0+</t>
  </si>
  <si>
    <t>Steelhead, winter rearing 0+</t>
  </si>
  <si>
    <t>Steelhead, summer rearing 1+</t>
  </si>
  <si>
    <t>Steelhead, winter rearing 1+</t>
  </si>
  <si>
    <t>Coho, summer rearing 0+</t>
  </si>
  <si>
    <t>Coho, winter rearing 0+</t>
  </si>
  <si>
    <t xml:space="preserve">http://oregonstate.edu/dept/ODFW/freshwater/inventory/habratereg.htm </t>
  </si>
  <si>
    <t>Oregon Coast Fall Chinook Salmon</t>
  </si>
  <si>
    <t>Oregon Coast Spring Chinook Salmon</t>
  </si>
  <si>
    <t>Oregon Coast Chum Salmon</t>
  </si>
  <si>
    <t>Oregon Coast Summer Steelhead</t>
  </si>
  <si>
    <t>Oregon Coast Winter Steelhead</t>
  </si>
  <si>
    <t xml:space="preserve">Lower Columbia River Summer Steelhead </t>
  </si>
  <si>
    <t xml:space="preserve">Lower Columbia River Winter Steelhead </t>
  </si>
  <si>
    <t>Lower Columbia River Fall Chinook Salmon</t>
  </si>
  <si>
    <t>Lower Columbia River Chum Salmon</t>
  </si>
  <si>
    <t>Oregon Coast Cutthroat Trout</t>
  </si>
  <si>
    <t>Lower Columbia Coastal Cutthroat Trout</t>
  </si>
  <si>
    <t>Oregon Pacific Lamprey</t>
  </si>
  <si>
    <t>V</t>
  </si>
  <si>
    <t>Oregon Western Brook Lamprey</t>
  </si>
  <si>
    <t>Presence Status</t>
  </si>
  <si>
    <t>Current</t>
  </si>
  <si>
    <t>Historic</t>
  </si>
  <si>
    <t>Distribution</t>
  </si>
  <si>
    <t>Above Barrier</t>
  </si>
  <si>
    <t>At/Below Barrier</t>
  </si>
  <si>
    <t>Prot (Value=2)</t>
  </si>
  <si>
    <t>Notes about Riparian Condition (including sources documentation)</t>
  </si>
  <si>
    <t>Notes about Floodplain Interaction (including sources documentation)</t>
  </si>
  <si>
    <t>Notes about Connectivity (including sources documentation)</t>
  </si>
  <si>
    <t>Notes about Water Quality (including sources documentation)</t>
  </si>
  <si>
    <t>Notes about Species Composition (including sources documentation)</t>
  </si>
  <si>
    <t>Notes about Landscape Context (including sources documentation)</t>
  </si>
  <si>
    <t>Notes about Habitat (including sources documentation)</t>
  </si>
  <si>
    <t>Fill in the cells in orange throughout the spreadsheet.   The cells in grey are calculated with formulas.</t>
  </si>
  <si>
    <t>Fish Passage Credit Calculator</t>
  </si>
  <si>
    <t>Species Present</t>
  </si>
  <si>
    <t>Habitat Survey Details</t>
  </si>
  <si>
    <t>Indicator References</t>
  </si>
  <si>
    <t>Indicator</t>
  </si>
  <si>
    <t>Burke et al 2010; Foster et al 2001; Previous NBAs</t>
  </si>
  <si>
    <t>Total Miles</t>
  </si>
  <si>
    <t>Protection:</t>
  </si>
  <si>
    <t>Agriculture land use:</t>
  </si>
  <si>
    <t>Road density:</t>
  </si>
  <si>
    <t>Crossing :</t>
  </si>
  <si>
    <t>Functional Riparian:</t>
  </si>
  <si>
    <t>Entrench:</t>
  </si>
  <si>
    <t>Is fish passage fully blocked or partially blocked by the subject barrier?  Passage status is used to adjust the overall site score.</t>
  </si>
  <si>
    <t>Rule</t>
  </si>
  <si>
    <t>Channel Area</t>
  </si>
  <si>
    <t>PRICHNAREA
(Primary)</t>
  </si>
  <si>
    <t>SECCHNAREA (Secondary)</t>
  </si>
  <si>
    <t>Other species:</t>
  </si>
  <si>
    <t>See details below</t>
  </si>
  <si>
    <t>Other 
(Value = 1)</t>
  </si>
  <si>
    <t>Pasture/Hay (Value 81)</t>
  </si>
  <si>
    <t>Size of Contributing Area</t>
  </si>
  <si>
    <t>Cultivated Crops 
(Value 82)</t>
  </si>
  <si>
    <t>Composite Value</t>
  </si>
  <si>
    <t>Instream-HabRate Attributes (Duplicated from Instream-HabRate table)</t>
  </si>
  <si>
    <t>Cover Page</t>
  </si>
  <si>
    <t xml:space="preserve">Nonindigenous Aquatic Species Program </t>
  </si>
  <si>
    <t>http://nas.er.usgs.gov/</t>
  </si>
  <si>
    <t xml:space="preserve">http://chetco-new.dsl.state.or.us/esh/index.html </t>
  </si>
  <si>
    <t>Glossary of Terms</t>
  </si>
  <si>
    <r>
      <t xml:space="preserve">Latitude:
</t>
    </r>
    <r>
      <rPr>
        <sz val="12"/>
        <color indexed="8"/>
        <rFont val="Calibri"/>
        <family val="2"/>
        <scheme val="minor"/>
      </rPr>
      <t>(At the project barrier)</t>
    </r>
  </si>
  <si>
    <r>
      <t xml:space="preserve">Longitude:
</t>
    </r>
    <r>
      <rPr>
        <sz val="12"/>
        <color indexed="8"/>
        <rFont val="Calibri"/>
        <family val="2"/>
        <scheme val="minor"/>
      </rPr>
      <t>(At the project barrier)</t>
    </r>
  </si>
  <si>
    <r>
      <rPr>
        <b/>
        <sz val="12"/>
        <color theme="1"/>
        <rFont val="Calibri"/>
        <family val="2"/>
        <scheme val="minor"/>
      </rPr>
      <t>Barrier at Project Site</t>
    </r>
    <r>
      <rPr>
        <sz val="12"/>
        <color theme="1"/>
        <rFont val="Calibri"/>
        <family val="2"/>
        <scheme val="minor"/>
      </rPr>
      <t>:  Is the barrier identified as a priority on the ODFW Fish Passage Priority List or in another barrier prioritization process (include those done by local watershed councils)? If so, provide the name of the prioritization and the barrier name &amp;/or number.  Priority barriers are not likely to be granted waivers, but for mitigation sites would rank higher.</t>
    </r>
  </si>
  <si>
    <r>
      <rPr>
        <b/>
        <sz val="12"/>
        <color theme="1"/>
        <rFont val="Calibri"/>
        <family val="2"/>
        <scheme val="minor"/>
      </rPr>
      <t>Downstream Barriers:</t>
    </r>
    <r>
      <rPr>
        <sz val="12"/>
        <color theme="1"/>
        <rFont val="Calibri"/>
        <family val="2"/>
        <scheme val="minor"/>
      </rPr>
      <t xml:space="preserve"> Is there an artificial or natural barrier downstream which fully blocks fish passage? Provide the source used to determine this: GIS database, personal communications, or actual field survey. Resident fish populations will still be considered at sites above a full passage barrier.</t>
    </r>
  </si>
  <si>
    <r>
      <t xml:space="preserve">Documentation: </t>
    </r>
    <r>
      <rPr>
        <sz val="12"/>
        <color theme="1"/>
        <rFont val="Calibri"/>
        <family val="2"/>
        <scheme val="minor"/>
      </rPr>
      <t xml:space="preserve">Use this area to add any comments pertaining to the attributes on this tab. </t>
    </r>
  </si>
  <si>
    <r>
      <t>Notes about Passage Status:</t>
    </r>
    <r>
      <rPr>
        <sz val="12"/>
        <color theme="1"/>
        <rFont val="Calibri"/>
        <family val="2"/>
        <scheme val="minor"/>
      </rPr>
      <t xml:space="preserve"> Include documentation of source of answer</t>
    </r>
  </si>
  <si>
    <r>
      <t>Area (m</t>
    </r>
    <r>
      <rPr>
        <vertAlign val="superscript"/>
        <sz val="12"/>
        <color theme="1"/>
        <rFont val="Calibri"/>
        <family val="2"/>
        <scheme val="minor"/>
      </rPr>
      <t>2</t>
    </r>
    <r>
      <rPr>
        <sz val="12"/>
        <color theme="1"/>
        <rFont val="Calibri"/>
        <family val="2"/>
        <scheme val="minor"/>
      </rPr>
      <t>)</t>
    </r>
  </si>
  <si>
    <r>
      <t xml:space="preserve">How much of the contributing area is under agricultural land use? </t>
    </r>
    <r>
      <rPr>
        <sz val="12"/>
        <color indexed="8"/>
        <rFont val="Calibri"/>
        <family val="2"/>
        <scheme val="minor"/>
      </rPr>
      <t>Use the National Land Cover Database (NLCD) 2006 Land Cover Classification to calculate percent of contributing area above project barrier in the ‘Pasture/Hay’ OR ‘Cultivate Crops’ categories.</t>
    </r>
  </si>
  <si>
    <r>
      <rPr>
        <b/>
        <u/>
        <sz val="12"/>
        <rFont val="Calibri"/>
        <family val="2"/>
        <scheme val="minor"/>
      </rPr>
      <t>What is the density of roads &amp; railroads in the contributing area</t>
    </r>
    <r>
      <rPr>
        <b/>
        <sz val="12"/>
        <rFont val="Calibri"/>
        <family val="2"/>
        <scheme val="minor"/>
      </rPr>
      <t xml:space="preserve">? </t>
    </r>
  </si>
  <si>
    <r>
      <t xml:space="preserve"> If &lt;1 mi/mi</t>
    </r>
    <r>
      <rPr>
        <vertAlign val="superscript"/>
        <sz val="12"/>
        <color indexed="8"/>
        <rFont val="Calibri"/>
        <family val="2"/>
        <scheme val="minor"/>
      </rPr>
      <t>2</t>
    </r>
    <r>
      <rPr>
        <sz val="12"/>
        <color indexed="8"/>
        <rFont val="Calibri"/>
        <family val="2"/>
        <scheme val="minor"/>
      </rPr>
      <t>, select A. If 1-2.4 mi/mi</t>
    </r>
    <r>
      <rPr>
        <vertAlign val="superscript"/>
        <sz val="12"/>
        <color indexed="8"/>
        <rFont val="Calibri"/>
        <family val="2"/>
        <scheme val="minor"/>
      </rPr>
      <t>2</t>
    </r>
    <r>
      <rPr>
        <sz val="12"/>
        <color indexed="8"/>
        <rFont val="Calibri"/>
        <family val="2"/>
        <scheme val="minor"/>
      </rPr>
      <t>, select B. If &gt;2.4 mi/mi</t>
    </r>
    <r>
      <rPr>
        <vertAlign val="superscript"/>
        <sz val="12"/>
        <color indexed="8"/>
        <rFont val="Calibri"/>
        <family val="2"/>
        <scheme val="minor"/>
      </rPr>
      <t>2</t>
    </r>
    <r>
      <rPr>
        <sz val="12"/>
        <color indexed="8"/>
        <rFont val="Calibri"/>
        <family val="2"/>
        <scheme val="minor"/>
      </rPr>
      <t>, select C.</t>
    </r>
  </si>
  <si>
    <r>
      <t>Contributing area (miles</t>
    </r>
    <r>
      <rPr>
        <vertAlign val="superscript"/>
        <sz val="12"/>
        <color theme="1"/>
        <rFont val="Calibri"/>
        <family val="2"/>
        <scheme val="minor"/>
      </rPr>
      <t>2</t>
    </r>
    <r>
      <rPr>
        <sz val="12"/>
        <color theme="1"/>
        <rFont val="Calibri"/>
        <family val="2"/>
        <scheme val="minor"/>
      </rPr>
      <t>)</t>
    </r>
  </si>
  <si>
    <t>Partially Blocked: Adult &amp; Juv.</t>
  </si>
  <si>
    <t>Max Value for each species</t>
  </si>
  <si>
    <t>Minimum Value for each species</t>
  </si>
  <si>
    <t>Credits if a Mitigation Site</t>
  </si>
  <si>
    <t>Debits if an Impact Site</t>
  </si>
  <si>
    <r>
      <rPr>
        <b/>
        <sz val="12"/>
        <color theme="1"/>
        <rFont val="Calibri"/>
        <family val="2"/>
        <scheme val="minor"/>
      </rPr>
      <t>Instream Habitat Quality</t>
    </r>
    <r>
      <rPr>
        <sz val="12"/>
        <color theme="1"/>
        <rFont val="Calibri"/>
        <family val="2"/>
        <scheme val="minor"/>
      </rPr>
      <t>: HabRate for each species and life stage</t>
    </r>
  </si>
  <si>
    <r>
      <rPr>
        <b/>
        <sz val="12"/>
        <color theme="1"/>
        <rFont val="Calibri"/>
        <family val="2"/>
        <scheme val="minor"/>
      </rPr>
      <t>Nearstream Composite Score</t>
    </r>
    <r>
      <rPr>
        <sz val="12"/>
        <color theme="1"/>
        <rFont val="Calibri"/>
        <family val="2"/>
        <scheme val="minor"/>
      </rPr>
      <t>:   AVERAGE(%FuncRip,Entrench,Floodplain)</t>
    </r>
  </si>
  <si>
    <r>
      <rPr>
        <b/>
        <sz val="12"/>
        <color theme="1"/>
        <rFont val="Calibri"/>
        <family val="2"/>
        <scheme val="minor"/>
      </rPr>
      <t>Supporting Landscape Composite Score</t>
    </r>
    <r>
      <rPr>
        <sz val="12"/>
        <color theme="1"/>
        <rFont val="Calibri"/>
        <family val="2"/>
        <scheme val="minor"/>
      </rPr>
      <t>:   AVERAGE((Max(%Protect,%ProtRip), StrmXDen, Av(RoadDens,%AgNLCD,DEQ303d),NNSpec)</t>
    </r>
  </si>
  <si>
    <r>
      <t>Totals (m</t>
    </r>
    <r>
      <rPr>
        <vertAlign val="superscript"/>
        <sz val="12"/>
        <color theme="1"/>
        <rFont val="Calibri"/>
        <family val="2"/>
        <scheme val="minor"/>
      </rPr>
      <t>2</t>
    </r>
    <r>
      <rPr>
        <sz val="12"/>
        <color theme="1"/>
        <rFont val="Calibri"/>
        <family val="2"/>
        <scheme val="minor"/>
      </rPr>
      <t>)</t>
    </r>
  </si>
  <si>
    <t>ST_S*</t>
  </si>
  <si>
    <t>ST_W*</t>
  </si>
  <si>
    <t>* ST_S and ST_W are averages of ST_S0 and ST_S1, and ST_W0 and ST_W2, respectively.</t>
  </si>
  <si>
    <t>Percent Agriculture</t>
  </si>
  <si>
    <t>Percent Protected</t>
  </si>
  <si>
    <t>DEQ 303(d)</t>
  </si>
  <si>
    <t>FLOODPLAIN INDICATORS</t>
  </si>
  <si>
    <t>Percent of Credits</t>
  </si>
  <si>
    <t>FOR LOOKUP (Must be sorted)</t>
  </si>
  <si>
    <t>Modifier*</t>
  </si>
  <si>
    <t>Essential Habitat Designation</t>
  </si>
  <si>
    <t>* Fully blocked, 100% of credits; Partially blocked: adult &amp; juvenile, 80% of credits; Partially blocked: juvenile only, 60% of credits</t>
  </si>
  <si>
    <t>Partially Blocked: Juveniles Only</t>
  </si>
  <si>
    <t>Miles of Potential Fish Use Above the Barrier:</t>
  </si>
  <si>
    <r>
      <rPr>
        <b/>
        <u/>
        <sz val="12"/>
        <rFont val="Calibri"/>
        <family val="2"/>
        <scheme val="minor"/>
      </rPr>
      <t xml:space="preserve">What percent of the total miles available for fish use above the barrier has suitable fish habitat data available? </t>
    </r>
    <r>
      <rPr>
        <sz val="12"/>
        <rFont val="Calibri"/>
        <family val="2"/>
        <scheme val="minor"/>
      </rPr>
      <t xml:space="preserve">
Determine the percentage of the “TotMiles” indicator entered above for which suitable in-stream habitat survey data is available.  Only include data meeting acceptability standards defined in the protocol document. Contact ODFW Corvallis Research Lab to request habitat ratings based on ODFW surveys done previously in any portion of the TotMiles entered above. Enter data in “HabArea” indicator below.</t>
    </r>
  </si>
  <si>
    <r>
      <rPr>
        <b/>
        <u/>
        <sz val="12"/>
        <rFont val="Calibri"/>
        <family val="2"/>
        <scheme val="minor"/>
      </rPr>
      <t>What is the current status of fish passage at the site?</t>
    </r>
    <r>
      <rPr>
        <b/>
        <sz val="12"/>
        <rFont val="Calibri"/>
        <family val="2"/>
        <scheme val="minor"/>
      </rPr>
      <t xml:space="preserve">
</t>
    </r>
    <r>
      <rPr>
        <sz val="12"/>
        <rFont val="Calibri"/>
        <family val="2"/>
        <scheme val="minor"/>
      </rPr>
      <t>A fully blocked barrier is one which prevents passage of all native migratory fish during all life stages and all flow conditions. A partially blocked barrier blocks passage of at least one native fish species at one life stage or during certain stream conditions.</t>
    </r>
  </si>
  <si>
    <r>
      <t xml:space="preserve">What are the total </t>
    </r>
    <r>
      <rPr>
        <b/>
        <u/>
        <sz val="12"/>
        <rFont val="Calibri"/>
        <family val="2"/>
        <scheme val="minor"/>
      </rPr>
      <t>miles of potential fish use</t>
    </r>
    <r>
      <rPr>
        <b/>
        <u/>
        <sz val="12"/>
        <color indexed="8"/>
        <rFont val="Calibri"/>
        <family val="2"/>
        <scheme val="minor"/>
      </rPr>
      <t xml:space="preserve"> above the current barrier? 
</t>
    </r>
    <r>
      <rPr>
        <sz val="12"/>
        <color indexed="8"/>
        <rFont val="Calibri"/>
        <family val="2"/>
        <scheme val="minor"/>
      </rPr>
      <t>Calculate the total potential fish use stream length (including secondary channels and tributaries) above the barrier according to the ODF Fish Presence database.</t>
    </r>
  </si>
  <si>
    <t>Miles of potential fish use above the current barrier</t>
  </si>
  <si>
    <t>If the percent of upstream fish use length for which habitat data is available is less than 80%, then gather necessary field data according to protocols. Then recalculate %Hdata including the new field data and run the HabRate model with the additional data before proceeding.</t>
  </si>
  <si>
    <r>
      <t>What is the habitat quality and total area (meters</t>
    </r>
    <r>
      <rPr>
        <b/>
        <u/>
        <vertAlign val="superscript"/>
        <sz val="12"/>
        <color indexed="8"/>
        <rFont val="Calibri"/>
        <family val="2"/>
        <scheme val="minor"/>
      </rPr>
      <t>2</t>
    </r>
    <r>
      <rPr>
        <b/>
        <u/>
        <sz val="12"/>
        <color indexed="8"/>
        <rFont val="Calibri"/>
        <family val="2"/>
        <scheme val="minor"/>
      </rPr>
      <t xml:space="preserve">) available for different life stages and species of native migratory fish above the current barrier? 
</t>
    </r>
    <r>
      <rPr>
        <sz val="12"/>
        <color indexed="8"/>
        <rFont val="Calibri"/>
        <family val="2"/>
        <scheme val="minor"/>
      </rPr>
      <t>Enter the stream area of reaches above the barrier and the associated habitat quality ratings from HabRate. Stream area is defined as bankfull width</t>
    </r>
    <r>
      <rPr>
        <sz val="12"/>
        <rFont val="Calibri"/>
        <family val="2"/>
        <scheme val="minor"/>
      </rPr>
      <t xml:space="preserve"> (i.e</t>
    </r>
    <r>
      <rPr>
        <sz val="12"/>
        <color indexed="8"/>
        <rFont val="Calibri"/>
        <family val="2"/>
        <scheme val="minor"/>
      </rPr>
      <t>. active channel width measured at the ordinary high water mark) times length of primary and secondary channels.</t>
    </r>
  </si>
  <si>
    <r>
      <rPr>
        <b/>
        <u/>
        <sz val="12"/>
        <color indexed="8"/>
        <rFont val="Calibri"/>
        <family val="2"/>
        <scheme val="minor"/>
      </rPr>
      <t>What is the percentage of functional riparian area along fish use streams above the current barrier</t>
    </r>
    <r>
      <rPr>
        <b/>
        <sz val="12"/>
        <color indexed="8"/>
        <rFont val="Calibri"/>
        <family val="2"/>
        <scheme val="minor"/>
      </rPr>
      <t xml:space="preserve">? </t>
    </r>
    <r>
      <rPr>
        <sz val="12"/>
        <color indexed="8"/>
        <rFont val="Calibri"/>
        <family val="2"/>
        <scheme val="minor"/>
      </rPr>
      <t>The proportion of each forest seral class in the riparian buffer (300' on either side of the stream) is used to determine functional riparian area.</t>
    </r>
  </si>
  <si>
    <t>Buffered Stream Network</t>
  </si>
  <si>
    <r>
      <rPr>
        <b/>
        <u/>
        <sz val="12"/>
        <color indexed="8"/>
        <rFont val="Calibri"/>
        <family val="2"/>
        <scheme val="minor"/>
      </rPr>
      <t xml:space="preserve">To what extent do non-native aquatic animal species pose a threat to native fish? </t>
    </r>
    <r>
      <rPr>
        <sz val="12"/>
        <rFont val="Calibri"/>
        <family val="2"/>
        <scheme val="minor"/>
      </rPr>
      <t>Presence of individuals of observed or likely reproducing population of non-native aquatic animal species (vertebrate or invertebrate) within the fish-use stream length that are likely to significantly threaten native fish. From spatial database of known presence (see References tab) &amp;/or consult with local ODFW District Biologist.</t>
    </r>
  </si>
  <si>
    <r>
      <t xml:space="preserve">What is the density of road &amp; railroad stream crossings in the upstream network? </t>
    </r>
    <r>
      <rPr>
        <sz val="12"/>
        <color indexed="8"/>
        <rFont val="Calibri"/>
        <family val="2"/>
        <scheme val="minor"/>
      </rPr>
      <t xml:space="preserve">Number of road/railroad and hydrography intersections above the project site divided by the total upstream length. </t>
    </r>
  </si>
  <si>
    <t>Credits/Debits: Discounted for passage status at site</t>
  </si>
  <si>
    <t>GIS Inputs Worksheets</t>
  </si>
  <si>
    <t>Net Benefits by Species: Quality-Adjusted Acres</t>
  </si>
  <si>
    <t>COVER PAGE</t>
  </si>
  <si>
    <t>Project Type</t>
  </si>
  <si>
    <t>Impact</t>
  </si>
  <si>
    <t>Mitigation</t>
  </si>
  <si>
    <t>Debit</t>
  </si>
  <si>
    <t>Credit</t>
  </si>
  <si>
    <t>Count Type</t>
  </si>
  <si>
    <t>Project Type:</t>
  </si>
  <si>
    <r>
      <t>A: &lt;1 mi/mi</t>
    </r>
    <r>
      <rPr>
        <vertAlign val="superscript"/>
        <sz val="12"/>
        <color theme="1"/>
        <rFont val="Calibri"/>
        <family val="2"/>
        <scheme val="minor"/>
      </rPr>
      <t>2</t>
    </r>
  </si>
  <si>
    <r>
      <t>B: 1-2.4 mi/mi</t>
    </r>
    <r>
      <rPr>
        <vertAlign val="superscript"/>
        <sz val="12"/>
        <color theme="1"/>
        <rFont val="Calibri"/>
        <family val="2"/>
        <scheme val="minor"/>
      </rPr>
      <t>2</t>
    </r>
  </si>
  <si>
    <r>
      <t>C: &gt;2.4 mi/mi</t>
    </r>
    <r>
      <rPr>
        <vertAlign val="superscript"/>
        <sz val="12"/>
        <color theme="1"/>
        <rFont val="Calibri"/>
        <family val="2"/>
        <scheme val="minor"/>
      </rPr>
      <t>2</t>
    </r>
  </si>
  <si>
    <t>Contributing Area Cell Count</t>
  </si>
  <si>
    <t>INSTREAM INDICATORS</t>
  </si>
  <si>
    <t>Length (miles) of Upstream Network</t>
  </si>
  <si>
    <t>General Instructions for using this  Calculator</t>
  </si>
  <si>
    <t>Consult the associated GIS Interface User's Manual for instructions on using GIS data for inputs to the calculator</t>
  </si>
  <si>
    <t>After each section of indicators, there is a notes field.  Use this area to add any comments pertaining to the indicators.  Describe the data sources used to complete the forms, including references' author names and dates as appropriate.  Include persons and/or agencies that provided information.  List GIS data sources referenced for the project site, including a description of how complete the data is considered to be for the project area.  Provide a brief description of data collected in the field and a reference to the complete survey data.  For all sources indicate the recentness of the information (if known).</t>
  </si>
  <si>
    <t>Contents:</t>
  </si>
  <si>
    <t>Contains general information about a site.</t>
  </si>
  <si>
    <t>Instream-HabRate</t>
  </si>
  <si>
    <t xml:space="preserve">Contains HabRate ratings for each stream reach upstream of a barrier by species and lifestage. </t>
  </si>
  <si>
    <t>Riparian &amp; Floodplain</t>
  </si>
  <si>
    <t>Contains indicators that describe a stream’s riparian condition and interaction with its floodplain.</t>
  </si>
  <si>
    <t>Supporting landscape</t>
  </si>
  <si>
    <t>Contains indicators that describe landscape level effects on fish habitat.</t>
  </si>
  <si>
    <t>Credit Calculations</t>
  </si>
  <si>
    <t>Takes data from 3 previous tabs to calculate Credits/Debits as quality-adjusted acres of fish habitat</t>
  </si>
  <si>
    <t>Comments Log</t>
  </si>
  <si>
    <t>Track comments from Project Team about draft versions of the calculator and how those were addressed</t>
  </si>
  <si>
    <t>References and websites utilized in development of the indicators and as potential data sources</t>
  </si>
  <si>
    <t>HabRate Summary</t>
  </si>
  <si>
    <t>Abstract of the HabRate model and attributes used in its calculations</t>
  </si>
  <si>
    <t>Dropdown Lists</t>
  </si>
  <si>
    <t>Look-up tables used by the calculator for dropdown lists entries</t>
  </si>
  <si>
    <t>Active Channel Width</t>
  </si>
  <si>
    <t>means the stream width between the ordinary high water lines, or at the channel bankfull elevation if the ordinary high water lines are indeterminate.</t>
  </si>
  <si>
    <t>Bankfull elevation</t>
  </si>
  <si>
    <t>means the point on a stream bank at which overflow into a floodplain begins.</t>
  </si>
  <si>
    <t>Bankfull Width</t>
  </si>
  <si>
    <t>is the active channel width measured at the ordinary high water mark.</t>
  </si>
  <si>
    <t>Buffered Upstream Network</t>
  </si>
  <si>
    <t>all the streams above the project barrier along with a riparian buffer zone extending 300’ on each side of the stream.</t>
  </si>
  <si>
    <t>contributing watershed, or total upstream watershed, defined by the total upstream drainage area above the subject barrier.</t>
  </si>
  <si>
    <t>Entrenchment Ratio</t>
  </si>
  <si>
    <t>defined as the flood prone width divided by the bankfull or active channel width.</t>
  </si>
  <si>
    <t>Fish-Use Stream Length</t>
  </si>
  <si>
    <t>Flood Prone Area</t>
  </si>
  <si>
    <t>defined by measuring the width of the channel at twice bankfull depth (AREMP 2005).</t>
  </si>
  <si>
    <t>Functional Riparian Area</t>
  </si>
  <si>
    <t>the area of fish-use streams along with a riparian zone extending 300’ on each side of the stream that is assessed for its degree of functionality based on forest seral class and associated riparian function modifiers (Maher et al. 2005; Beamer et al. 2000).</t>
  </si>
  <si>
    <t>HabRate</t>
  </si>
  <si>
    <t>a model developed to assess the potential quality of stream habitat using stream survey data for each juvenile life stage of salmon and steelhead (Burke et al. 2010).</t>
  </si>
  <si>
    <t>Riparian Buffer</t>
  </si>
  <si>
    <t>as defined in the NW Forest Plan Aquatic Conservation Strategy buffer for fish-bearing streams (USDA &amp; USDI 2005) which is 300' slope distance (600' total, including both sides of the stream channel).</t>
  </si>
  <si>
    <t xml:space="preserve">Ordinary high water line (OHWL) </t>
  </si>
  <si>
    <t>means the line on the bank or shore to which the high water ordinarily rises annually in season. (see OAR 141-085-0010 for physical characteristics that can be used to determine the OHWL in the field.)</t>
  </si>
  <si>
    <t>Project Barrier</t>
  </si>
  <si>
    <t>the culvert or other type of barrier that is being evaluated in the Fish Passage Credit Calculator either as a waiver request or a potential mitigation site.</t>
  </si>
  <si>
    <t>Stream Area</t>
  </si>
  <si>
    <t>is defined as bankfull width times length of primary and secondary channels.</t>
  </si>
  <si>
    <t>Upstream Network</t>
  </si>
  <si>
    <t>all streams above the project barrier as identified on the National Hydrography Dataset (1:24,000 scale) irrespective of stream size or fish presence.</t>
  </si>
  <si>
    <r>
      <t xml:space="preserve">Project Description: </t>
    </r>
    <r>
      <rPr>
        <sz val="12"/>
        <color indexed="8"/>
        <rFont val="Calibri"/>
        <family val="2"/>
        <scheme val="minor"/>
      </rPr>
      <t>Provide a general description of where the project is located, type of barrier, etc.</t>
    </r>
  </si>
  <si>
    <r>
      <rPr>
        <b/>
        <sz val="12"/>
        <color theme="1"/>
        <rFont val="Calibri"/>
        <family val="2"/>
        <scheme val="minor"/>
      </rPr>
      <t>Additional Habitat Designation</t>
    </r>
    <r>
      <rPr>
        <sz val="12"/>
        <color theme="1"/>
        <rFont val="Calibri"/>
        <family val="2"/>
        <scheme val="minor"/>
      </rPr>
      <t>: Has a special habitat designation (other than Oregon Department of State Lands (DSL) Essential Salmonid Habitat) been identified for any species in the project fish-use stream length?</t>
    </r>
  </si>
  <si>
    <r>
      <rPr>
        <b/>
        <sz val="12"/>
        <color theme="1"/>
        <rFont val="Calibri"/>
        <family val="2"/>
        <scheme val="minor"/>
      </rPr>
      <t>Potential Restoration:</t>
    </r>
    <r>
      <rPr>
        <sz val="12"/>
        <color theme="1"/>
        <rFont val="Calibri"/>
        <family val="2"/>
        <scheme val="minor"/>
      </rPr>
      <t xml:space="preserve"> Are any agencies or organizations currently planning restoration projects within the fish-use stream length of the project site?</t>
    </r>
  </si>
  <si>
    <r>
      <rPr>
        <b/>
        <sz val="12"/>
        <color theme="1"/>
        <rFont val="Calibri"/>
        <family val="2"/>
        <scheme val="minor"/>
      </rPr>
      <t>Special Features:</t>
    </r>
    <r>
      <rPr>
        <sz val="12"/>
        <color theme="1"/>
        <rFont val="Calibri"/>
        <family val="2"/>
        <scheme val="minor"/>
      </rPr>
      <t xml:space="preserve"> List any special aquatic habitat features (large logjams, wooded wetlands, numerous connected riparian wetlands, beaver-pond complexes, groundwater dependent ecosystems, native fish populations with diverse life histories, etc.) in the project fish-use stream length.</t>
    </r>
  </si>
  <si>
    <r>
      <rPr>
        <b/>
        <sz val="12"/>
        <color theme="1"/>
        <rFont val="Calibri"/>
        <family val="2"/>
        <scheme val="minor"/>
      </rPr>
      <t>Land ownership:</t>
    </r>
    <r>
      <rPr>
        <sz val="12"/>
        <color theme="1"/>
        <rFont val="Calibri"/>
        <family val="2"/>
        <scheme val="minor"/>
      </rPr>
      <t xml:space="preserve"> Describe the land ownership at the project barrier and contributing area.  Ownership patterns will not affect the credit calculation, and are for informational purposes only.</t>
    </r>
  </si>
  <si>
    <r>
      <t>Has the channel bed eroded to a point that would influence channel-floodplain interactions?</t>
    </r>
    <r>
      <rPr>
        <sz val="12"/>
        <color indexed="8"/>
        <rFont val="Calibri"/>
        <family val="2"/>
        <scheme val="minor"/>
      </rPr>
      <t xml:space="preserve"> What % of the potential fish use stream length above the barrier has entrenchment ratio &gt; 1 (indicating good floodplain interaction)? Entrenchment ratios are measured during Aquatic Inventory surveys. (See Glossary on Introduction page for formula)</t>
    </r>
  </si>
  <si>
    <t>Other 
(Value=1)</t>
  </si>
  <si>
    <t>Prot 
(Value =2)</t>
  </si>
  <si>
    <r>
      <rPr>
        <b/>
        <u/>
        <sz val="12"/>
        <color indexed="8"/>
        <rFont val="Calibri"/>
        <family val="2"/>
        <scheme val="minor"/>
      </rPr>
      <t>What percentage of the</t>
    </r>
    <r>
      <rPr>
        <b/>
        <i/>
        <u/>
        <sz val="12"/>
        <color indexed="8"/>
        <rFont val="Calibri"/>
        <family val="2"/>
        <scheme val="minor"/>
      </rPr>
      <t xml:space="preserve"> contributing area</t>
    </r>
    <r>
      <rPr>
        <b/>
        <u/>
        <sz val="12"/>
        <color indexed="8"/>
        <rFont val="Calibri"/>
        <family val="2"/>
        <scheme val="minor"/>
      </rPr>
      <t xml:space="preserve"> is allocated to management categories of Protection, Preservation, or Retention</t>
    </r>
    <r>
      <rPr>
        <b/>
        <sz val="12"/>
        <color indexed="8"/>
        <rFont val="Calibri"/>
        <family val="2"/>
        <scheme val="minor"/>
      </rPr>
      <t>?</t>
    </r>
    <r>
      <rPr>
        <sz val="12"/>
        <color indexed="8"/>
        <rFont val="Calibri"/>
        <family val="2"/>
        <scheme val="minor"/>
      </rPr>
      <t xml:space="preserve"> Use Integrated Landscape Assessment Project (ILAP) database to calculate percent of contributing area above project barrier in these categories. </t>
    </r>
  </si>
  <si>
    <r>
      <t>What percentage of the</t>
    </r>
    <r>
      <rPr>
        <b/>
        <i/>
        <u/>
        <sz val="12"/>
        <color indexed="8"/>
        <rFont val="Calibri"/>
        <family val="2"/>
        <scheme val="minor"/>
      </rPr>
      <t xml:space="preserve"> buffered upstream network</t>
    </r>
    <r>
      <rPr>
        <b/>
        <u/>
        <sz val="12"/>
        <color indexed="8"/>
        <rFont val="Calibri"/>
        <family val="2"/>
        <scheme val="minor"/>
      </rPr>
      <t xml:space="preserve"> is allocated to management categories of Protection, Preservation, or Retention? </t>
    </r>
    <r>
      <rPr>
        <sz val="12"/>
        <color indexed="8"/>
        <rFont val="Calibri"/>
        <family val="2"/>
        <scheme val="minor"/>
      </rPr>
      <t>Use Integrated Landscape Assessment Project (ILAP) database to calculate percent of buffered stream network above project barrier in these categories. See References tab for category definitions.</t>
    </r>
  </si>
  <si>
    <t>What level of threat do non-native/exotic aquatic animal species present?
Trace/None, Somewhat, or Significant.</t>
  </si>
  <si>
    <t>DEQ Water Quality</t>
  </si>
  <si>
    <r>
      <rPr>
        <b/>
        <u/>
        <sz val="12"/>
        <color indexed="8"/>
        <rFont val="Calibri"/>
        <family val="2"/>
        <scheme val="minor"/>
      </rPr>
      <t>Is any part of the project's fish-use stream length on the DEQ 303d list or a TMDL for impairment of any water quality parameter</t>
    </r>
    <r>
      <rPr>
        <b/>
        <sz val="12"/>
        <color indexed="8"/>
        <rFont val="Calibri"/>
        <family val="2"/>
        <scheme val="minor"/>
      </rPr>
      <t xml:space="preserve">? </t>
    </r>
    <r>
      <rPr>
        <sz val="12"/>
        <color indexed="8"/>
        <rFont val="Calibri"/>
        <family val="2"/>
        <scheme val="minor"/>
      </rPr>
      <t xml:space="preserve"> If no 303d or TMDL information is available for this location, but there are water quality data or measurements made repeatedly with adequate quality assurance that indicate chronic problems, they should be considered. </t>
    </r>
  </si>
  <si>
    <t xml:space="preserve">http://www.deq.state.or.us/wq/assessment/rpt2010/search.asp </t>
  </si>
  <si>
    <t>http://deq12.deq.state.or.us/lasar2/default.aspx)</t>
  </si>
  <si>
    <t>ODF Fish-use stream definition (OAR 629-635-0200)
Bailey 2012; Pilson 2012</t>
  </si>
  <si>
    <t>Loffink 2013;
Previous ODFW Net Benefit Analyses (NBA)</t>
  </si>
  <si>
    <t>Maher et al. 2005; Beamer et al. 2000; USDA &amp; USDI 2005; Previous NBAs</t>
  </si>
  <si>
    <t>Foster et al 2001; AREMP 2005</t>
  </si>
  <si>
    <t>Or. Stream Functional Assessment; Potyondy &amp; Geier 2011</t>
  </si>
  <si>
    <t>Integrated Landscape Assessment Project (OSU, USFS, INR); Or. Stream Functional Assessment</t>
  </si>
  <si>
    <t>%ProtRip &amp;
%Protect</t>
  </si>
  <si>
    <t>Loffink 2013; Previous NBAs</t>
  </si>
  <si>
    <t>Maher et al. 2005; Potyondy &amp; Geier 2011; Previous NBAs</t>
  </si>
  <si>
    <t>Potyondy &amp; Geier 2011</t>
  </si>
  <si>
    <t>AREMP 2005; Martin and Apse 2013; Pilson 2012</t>
  </si>
  <si>
    <r>
      <rPr>
        <b/>
        <sz val="11"/>
        <color theme="1"/>
        <rFont val="Calibri"/>
        <family val="2"/>
        <scheme val="minor"/>
      </rPr>
      <t>Bailey, S. 2012.</t>
    </r>
    <r>
      <rPr>
        <sz val="11"/>
        <color theme="1"/>
        <rFont val="Calibri"/>
        <family val="2"/>
        <scheme val="minor"/>
      </rPr>
      <t xml:space="preserve"> Culvert Assessment and Prioritization Plan for Fish Passage in the Tillamook Bay Watershed, Tillamook County, Oregon – Version 1.1. Report to Tillamook Estuaries Partnership, Garibaldi, Oregon. 259 pp. </t>
    </r>
  </si>
  <si>
    <r>
      <rPr>
        <b/>
        <sz val="11"/>
        <color theme="1"/>
        <rFont val="Calibri"/>
        <family val="2"/>
        <scheme val="minor"/>
      </rPr>
      <t>Pilson, S. 2012.</t>
    </r>
    <r>
      <rPr>
        <sz val="11"/>
        <color theme="1"/>
        <rFont val="Calibri"/>
        <family val="2"/>
        <scheme val="minor"/>
      </rPr>
      <t xml:space="preserve"> Prioritizing Fish Passage Barrier Removal at the Sub-basin-scale: A Strategy for the Tillamook-Nestucca Sub-Basin, Tillamook County, Oregon. Submitted in partial fulfillment of the requirements for the degree Master of Environmental Management, Portland State University. Portland, Oregon. 59 pp.</t>
    </r>
  </si>
  <si>
    <r>
      <rPr>
        <b/>
        <sz val="11"/>
        <color theme="1"/>
        <rFont val="Calibri"/>
        <family val="2"/>
        <scheme val="minor"/>
      </rPr>
      <t>Beamer, E., T. Beechie, B. Perkowski, and J. Klochak. 2000.</t>
    </r>
    <r>
      <rPr>
        <sz val="11"/>
        <color theme="1"/>
        <rFont val="Calibri"/>
        <family val="2"/>
        <scheme val="minor"/>
      </rPr>
      <t xml:space="preserve"> River Basin Analysis of the Skagit and Samish Basins: Tools for Salmon Habitat Restoration and Protection. Report to Skagit Watershed Council, Mt. Vernon, Washington. 86 pp.</t>
    </r>
  </si>
  <si>
    <r>
      <rPr>
        <b/>
        <sz val="11"/>
        <color theme="1"/>
        <rFont val="Calibri"/>
        <family val="2"/>
        <scheme val="minor"/>
      </rPr>
      <t>Potyondy, J. P., &amp; Geier, T. W. 2011.</t>
    </r>
    <r>
      <rPr>
        <sz val="11"/>
        <color theme="1"/>
        <rFont val="Calibri"/>
        <family val="2"/>
        <scheme val="minor"/>
      </rPr>
      <t xml:space="preserve"> Watershed Condition Classification Technical Guide. Washington, DC: US Department of Agriculture, 5-6.</t>
    </r>
  </si>
  <si>
    <t>If you wish to print only the data portions of this workbook, either set your print options to "Print entire workbook" &amp; limit the pages to 2 thru 8, or print tabs individually.</t>
  </si>
  <si>
    <t>Passage Status at Project Barrier</t>
  </si>
  <si>
    <t xml:space="preserve">“fish-use” streams as detailed in Oregon Forest Practices Rule guidance (see OAR 629-635-0200) and represented in the Fish Presence GIS data modeled by ODF. May also be termed “fish-bearing reaches”. </t>
  </si>
  <si>
    <t>Composite Habitat Quality by Reach</t>
  </si>
  <si>
    <t>Eq: (% of optimal Composite Habitat Quality by Reach *Reach Area)</t>
  </si>
  <si>
    <t>Class 1 Late Seral</t>
  </si>
  <si>
    <t>Class 2 Mid Seral</t>
  </si>
  <si>
    <t>Class 3 Early Seral</t>
  </si>
  <si>
    <t>Class 5 Non-forested</t>
  </si>
  <si>
    <t>% class 5: ‘non-forested’ lands, including rock, urban areas, agricultural land, etc.</t>
  </si>
  <si>
    <t>Field Data Required</t>
  </si>
  <si>
    <r>
      <rPr>
        <b/>
        <sz val="12"/>
        <color theme="1"/>
        <rFont val="Calibri"/>
        <family val="2"/>
        <scheme val="minor"/>
      </rPr>
      <t>Fish Species</t>
    </r>
    <r>
      <rPr>
        <sz val="12"/>
        <color theme="1"/>
        <rFont val="Calibri"/>
        <family val="2"/>
        <scheme val="minor"/>
      </rPr>
      <t xml:space="preserve">:  Put an X in the appropriate columns for the native migratory fish species present based on ODFW's Fish Habitat Distribution database and confirm with local ODFW District Biologist.    Status abbreviations: T = Threatened, E = Endangered, C = Critical, V = Vulnerable.  'Current' presence status in the GIS data is indicated by a status other than 'Historic', for example 'Spawning'. </t>
    </r>
  </si>
  <si>
    <t xml:space="preserve">Essential Indicators Provided? </t>
  </si>
  <si>
    <r>
      <t>For each Category</t>
    </r>
    <r>
      <rPr>
        <b/>
        <sz val="14"/>
        <color theme="1"/>
        <rFont val="Calibri"/>
        <family val="2"/>
        <scheme val="minor"/>
      </rPr>
      <t>,</t>
    </r>
    <r>
      <rPr>
        <sz val="14"/>
        <color theme="1"/>
        <rFont val="Calibri"/>
        <family val="2"/>
        <scheme val="minor"/>
      </rPr>
      <t xml:space="preserve"> the </t>
    </r>
    <r>
      <rPr>
        <b/>
        <sz val="14"/>
        <color theme="1"/>
        <rFont val="Calibri"/>
        <family val="2"/>
        <scheme val="minor"/>
      </rPr>
      <t xml:space="preserve">Essential Indicators </t>
    </r>
    <r>
      <rPr>
        <sz val="14"/>
        <color theme="1"/>
        <rFont val="Calibri"/>
        <family val="2"/>
        <scheme val="minor"/>
      </rPr>
      <t>are:</t>
    </r>
    <r>
      <rPr>
        <b/>
        <sz val="14"/>
        <color theme="1"/>
        <rFont val="Calibri"/>
        <family val="2"/>
        <scheme val="minor"/>
      </rPr>
      <t xml:space="preserve">
</t>
    </r>
    <r>
      <rPr>
        <b/>
        <sz val="12"/>
        <color theme="1"/>
        <rFont val="Calibri"/>
        <family val="2"/>
        <scheme val="minor"/>
      </rPr>
      <t xml:space="preserve">   </t>
    </r>
    <r>
      <rPr>
        <sz val="14"/>
        <color theme="1"/>
        <rFont val="Calibri"/>
        <family val="2"/>
        <scheme val="minor"/>
      </rPr>
      <t xml:space="preserve">
</t>
    </r>
    <r>
      <rPr>
        <b/>
        <sz val="14"/>
        <color theme="1"/>
        <rFont val="Calibri"/>
        <family val="2"/>
        <scheme val="minor"/>
      </rPr>
      <t>Instream Habitat</t>
    </r>
    <r>
      <rPr>
        <sz val="14"/>
        <color theme="1"/>
        <rFont val="Calibri"/>
        <family val="2"/>
        <scheme val="minor"/>
      </rPr>
      <t xml:space="preserve">:  HabRate results 
</t>
    </r>
    <r>
      <rPr>
        <sz val="12"/>
        <color theme="1"/>
        <rFont val="Calibri"/>
        <family val="2"/>
        <scheme val="minor"/>
      </rPr>
      <t xml:space="preserve">   </t>
    </r>
    <r>
      <rPr>
        <sz val="14"/>
        <color theme="1"/>
        <rFont val="Calibri"/>
        <family val="2"/>
        <scheme val="minor"/>
      </rPr>
      <t xml:space="preserve">
</t>
    </r>
    <r>
      <rPr>
        <b/>
        <sz val="14"/>
        <color theme="1"/>
        <rFont val="Calibri"/>
        <family val="2"/>
        <scheme val="minor"/>
      </rPr>
      <t xml:space="preserve">Riparian &amp; Floodplain Interactions: </t>
    </r>
    <r>
      <rPr>
        <sz val="14"/>
        <color theme="1"/>
        <rFont val="Calibri"/>
        <family val="2"/>
        <scheme val="minor"/>
      </rPr>
      <t xml:space="preserve"> % FuncRip, plus atleast 1 of the floodplain interaction indicators (Entrench or Floodplain) 
</t>
    </r>
    <r>
      <rPr>
        <sz val="12"/>
        <color theme="1"/>
        <rFont val="Calibri"/>
        <family val="2"/>
        <scheme val="minor"/>
      </rPr>
      <t xml:space="preserve">    </t>
    </r>
    <r>
      <rPr>
        <sz val="14"/>
        <color theme="1"/>
        <rFont val="Calibri"/>
        <family val="2"/>
        <scheme val="minor"/>
      </rPr>
      <t xml:space="preserve">
</t>
    </r>
    <r>
      <rPr>
        <b/>
        <sz val="14"/>
        <color theme="1"/>
        <rFont val="Calibri"/>
        <family val="2"/>
        <scheme val="minor"/>
      </rPr>
      <t>Suporting Landscape Context</t>
    </r>
    <r>
      <rPr>
        <sz val="14"/>
        <color theme="1"/>
        <rFont val="Calibri"/>
        <family val="2"/>
        <scheme val="minor"/>
      </rPr>
      <t xml:space="preserve">:  at least 1 of the Protected Management status indicators (%Protect or %ProtRip)
• RoadDens
</t>
    </r>
  </si>
  <si>
    <t xml:space="preserve">This Fish Passage Credit Calculator is supported by a Geographic Information System (GIS) interface and User Guide describing how to use the interface to input information into this spreadsheet and calculate credits.  </t>
  </si>
  <si>
    <t>FISH PASSAGE CREDIT CALCULATOR</t>
  </si>
  <si>
    <t>Shonene Scott</t>
  </si>
  <si>
    <t>Version 1.1</t>
  </si>
  <si>
    <t>February 2015</t>
  </si>
  <si>
    <t>East Fork of South Fork Trask River</t>
  </si>
  <si>
    <t>yes</t>
  </si>
  <si>
    <t>x</t>
  </si>
  <si>
    <t>no</t>
  </si>
  <si>
    <t>East Fork, South Fork Trask Intake Dam, ODFW Barrier #10055, passage status 'Partial'</t>
  </si>
  <si>
    <t>Passage status based on professional judgement of Chris Knutsen, ODFW District Fish Biologist,</t>
  </si>
  <si>
    <t>Site and majority of upstream reaches are on State land.  A small portion of the highest reaches are on Private land.</t>
  </si>
  <si>
    <t>ORPlan</t>
  </si>
  <si>
    <t>Basin</t>
  </si>
  <si>
    <t>Exception made for Fish Passage Task Force Demonstration to allow credits to be calculated.</t>
  </si>
  <si>
    <t>OR</t>
  </si>
  <si>
    <t>outside area of agriculture data</t>
  </si>
  <si>
    <t>C: &gt;2.4 mi/mi2</t>
  </si>
  <si>
    <t>% of historic floodplain based on prof judgement of Dave Steward &amp; Chris Knutsen, channel is constrained by roads in several areas</t>
  </si>
  <si>
    <t>prof judgement of Dave Steward &amp; Chris Knutsen</t>
  </si>
  <si>
    <t>Cutthroat Trout</t>
  </si>
  <si>
    <t>CT_SE</t>
  </si>
  <si>
    <t>CT_S0</t>
  </si>
  <si>
    <t>CT_W0</t>
  </si>
  <si>
    <t>CT_S1</t>
  </si>
  <si>
    <t>CT_WO</t>
  </si>
  <si>
    <t>CT_S*</t>
  </si>
  <si>
    <t>* CT_W is an average of CT_S0 and CT_S1.</t>
  </si>
  <si>
    <t>GIS DATA</t>
  </si>
  <si>
    <t>Source</t>
  </si>
  <si>
    <t>GIS FID</t>
  </si>
  <si>
    <t>Notes</t>
  </si>
  <si>
    <t>Both OR Plan and Basin-level habitat data used to define habitat.  The source column indicates whether the habitat survey was completed under the Oergon Plan or the Basin-level surveys.  
HabRate v4.0 models were used to generate habrate scores.</t>
  </si>
  <si>
    <t>Coastl Cutthroat, spawning and emergence</t>
  </si>
  <si>
    <t>Coast Cutthroat, summer rearing 0+</t>
  </si>
  <si>
    <t>Coast Cutthroat, winter rearing 0+</t>
  </si>
  <si>
    <t>Coast Cutthroat, summer rearing 1+</t>
  </si>
  <si>
    <t>Cutthroat</t>
  </si>
  <si>
    <t>OBJECTID_12 *</t>
  </si>
  <si>
    <t>STREAM</t>
  </si>
  <si>
    <t>HABRCH</t>
  </si>
  <si>
    <t>HABRCH_YR</t>
  </si>
  <si>
    <t>SURV_DATE</t>
  </si>
  <si>
    <t>PRICHNAREA</t>
  </si>
  <si>
    <t>SECCHNAREA</t>
  </si>
  <si>
    <t>ENTRENCH</t>
  </si>
  <si>
    <t>SURVEY_YEA</t>
  </si>
  <si>
    <t>MILES</t>
  </si>
  <si>
    <t>FEET</t>
  </si>
  <si>
    <t>BALES CREEK</t>
  </si>
  <si>
    <t>123577945380201_1994</t>
  </si>
  <si>
    <t>123577945380202_1994</t>
  </si>
  <si>
    <t>123577945380203_1994</t>
  </si>
  <si>
    <t>PIGEON CREEK</t>
  </si>
  <si>
    <t>123580645381001_1994</t>
  </si>
  <si>
    <t>STRETCH CREEK</t>
  </si>
  <si>
    <t>123538845350501_1994</t>
  </si>
  <si>
    <t>EAST FORK SOUTH FORK TRASK RIVER</t>
  </si>
  <si>
    <t>123605145416502_2004</t>
  </si>
  <si>
    <t>123605145416503_2004</t>
  </si>
  <si>
    <t>123605145416504_2004</t>
  </si>
  <si>
    <t>123605145416505_2004</t>
  </si>
  <si>
    <t>123605145416506_2004</t>
  </si>
  <si>
    <t>123605145416507_2004</t>
  </si>
  <si>
    <t>123605145416508_2005</t>
  </si>
  <si>
    <t>123605145416509_2005</t>
  </si>
  <si>
    <t>123605145416510_2005</t>
  </si>
  <si>
    <t>123605145416511_2005</t>
  </si>
  <si>
    <t>MILLER CREEK</t>
  </si>
  <si>
    <t>123558145368201_2005</t>
  </si>
  <si>
    <t>ROCK CREEK</t>
  </si>
  <si>
    <t>123515145361401_2005</t>
  </si>
  <si>
    <t>BOUNDARY CREEK</t>
  </si>
  <si>
    <t>123547445360901_2005</t>
  </si>
  <si>
    <t>123547445360902_2005</t>
  </si>
  <si>
    <t>STEAMPOT CREEK</t>
  </si>
  <si>
    <t>123562545372801_2005</t>
  </si>
  <si>
    <t>123562545372802_2005</t>
  </si>
  <si>
    <t>123538845350502_1994</t>
  </si>
  <si>
    <t>OBJECTID *</t>
  </si>
  <si>
    <t>IDNUM</t>
  </si>
  <si>
    <t>YEAR</t>
  </si>
  <si>
    <t>No fish species in FHD data</t>
  </si>
  <si>
    <t>Miles,
 Ratio &gt; 2.2</t>
  </si>
  <si>
    <t>% of miles with entrenchment ratio &gt; 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</si>
</sst>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_);_(* \(#,##0\);_(* &quot;-&quot;??_);_(@_)"/>
    <numFmt numFmtId="167" formatCode="0.000"/>
  </numFmts>
  <fonts count="47" x14ac:knownFonts="1">
    <font>
      <sz val="11"/>
      <color theme="1"/>
      <name val="Calibri"/>
      <family val="2"/>
      <scheme val="minor"/>
    </font>
    <font>
      <b/>
      <sz val="14"/>
      <color theme="1"/>
      <name val="Arial"/>
      <family val="2"/>
    </font>
    <font>
      <sz val="9"/>
      <color indexed="81"/>
      <name val="Tahoma"/>
      <family val="2"/>
    </font>
    <font>
      <b/>
      <sz val="9"/>
      <color indexed="81"/>
      <name val="Tahoma"/>
      <family val="2"/>
    </font>
    <font>
      <b/>
      <sz val="11"/>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b/>
      <sz val="10"/>
      <color rgb="FFFF0000"/>
      <name val="Calibri"/>
      <family val="2"/>
      <scheme val="minor"/>
    </font>
    <font>
      <sz val="11"/>
      <name val="Calibri"/>
      <family val="2"/>
      <scheme val="minor"/>
    </font>
    <font>
      <b/>
      <sz val="10"/>
      <color theme="1"/>
      <name val="Calibri"/>
      <family val="2"/>
      <scheme val="minor"/>
    </font>
    <font>
      <b/>
      <sz val="10"/>
      <name val="Arial"/>
      <family val="2"/>
    </font>
    <font>
      <sz val="10"/>
      <name val="Calibri"/>
      <family val="2"/>
      <scheme val="minor"/>
    </font>
    <font>
      <b/>
      <sz val="14"/>
      <name val="Arial"/>
      <family val="2"/>
    </font>
    <font>
      <sz val="12"/>
      <name val="Arial"/>
      <family val="2"/>
    </font>
    <font>
      <sz val="12"/>
      <color rgb="FF000000"/>
      <name val="Arial"/>
      <family val="2"/>
    </font>
    <font>
      <i/>
      <sz val="11"/>
      <color theme="1"/>
      <name val="Calibri"/>
      <family val="2"/>
      <scheme val="minor"/>
    </font>
    <font>
      <b/>
      <sz val="16"/>
      <color theme="1"/>
      <name val="Calibri"/>
      <family val="2"/>
      <scheme val="minor"/>
    </font>
    <font>
      <b/>
      <sz val="12"/>
      <color theme="1"/>
      <name val="Arial"/>
      <family val="2"/>
    </font>
    <font>
      <sz val="11"/>
      <color theme="1"/>
      <name val="Calibri"/>
      <family val="2"/>
      <scheme val="minor"/>
    </font>
    <font>
      <b/>
      <sz val="10"/>
      <name val="Calibri"/>
      <family val="2"/>
      <scheme val="minor"/>
    </font>
    <font>
      <b/>
      <u/>
      <sz val="10"/>
      <color indexed="8"/>
      <name val="Calibri"/>
      <family val="2"/>
      <scheme val="minor"/>
    </font>
    <font>
      <b/>
      <sz val="10"/>
      <color theme="1"/>
      <name val="Arial"/>
      <family val="2"/>
    </font>
    <font>
      <b/>
      <sz val="12"/>
      <name val="Calibri"/>
      <family val="2"/>
      <scheme val="minor"/>
    </font>
    <font>
      <i/>
      <sz val="10"/>
      <color theme="1"/>
      <name val="Calibri"/>
      <family val="2"/>
      <scheme val="minor"/>
    </font>
    <font>
      <b/>
      <sz val="14"/>
      <color indexed="8"/>
      <name val="Calibri"/>
      <family val="2"/>
      <scheme val="minor"/>
    </font>
    <font>
      <sz val="14"/>
      <color theme="1"/>
      <name val="Calibri"/>
      <family val="2"/>
      <scheme val="minor"/>
    </font>
    <font>
      <b/>
      <sz val="14"/>
      <color theme="1"/>
      <name val="Calibri"/>
      <family val="2"/>
      <scheme val="minor"/>
    </font>
    <font>
      <b/>
      <sz val="12"/>
      <color indexed="8"/>
      <name val="Calibri"/>
      <family val="2"/>
      <scheme val="minor"/>
    </font>
    <font>
      <sz val="12"/>
      <color theme="1"/>
      <name val="Calibri"/>
      <family val="2"/>
      <scheme val="minor"/>
    </font>
    <font>
      <i/>
      <sz val="12"/>
      <color theme="1"/>
      <name val="Calibri"/>
      <family val="2"/>
      <scheme val="minor"/>
    </font>
    <font>
      <sz val="12"/>
      <color indexed="8"/>
      <name val="Calibri"/>
      <family val="2"/>
      <scheme val="minor"/>
    </font>
    <font>
      <sz val="12"/>
      <name val="Calibri"/>
      <family val="2"/>
      <scheme val="minor"/>
    </font>
    <font>
      <sz val="12"/>
      <color rgb="FF000000"/>
      <name val="Calibri"/>
      <family val="2"/>
      <scheme val="minor"/>
    </font>
    <font>
      <b/>
      <u/>
      <sz val="12"/>
      <name val="Calibri"/>
      <family val="2"/>
      <scheme val="minor"/>
    </font>
    <font>
      <b/>
      <u/>
      <sz val="12"/>
      <color indexed="8"/>
      <name val="Calibri"/>
      <family val="2"/>
      <scheme val="minor"/>
    </font>
    <font>
      <b/>
      <i/>
      <sz val="12"/>
      <color indexed="8"/>
      <name val="Calibri"/>
      <family val="2"/>
      <scheme val="minor"/>
    </font>
    <font>
      <b/>
      <sz val="12"/>
      <color rgb="FFFF0000"/>
      <name val="Calibri"/>
      <family val="2"/>
      <scheme val="minor"/>
    </font>
    <font>
      <b/>
      <u/>
      <vertAlign val="superscript"/>
      <sz val="12"/>
      <color indexed="8"/>
      <name val="Calibri"/>
      <family val="2"/>
      <scheme val="minor"/>
    </font>
    <font>
      <vertAlign val="superscript"/>
      <sz val="12"/>
      <color theme="1"/>
      <name val="Calibri"/>
      <family val="2"/>
      <scheme val="minor"/>
    </font>
    <font>
      <i/>
      <sz val="12"/>
      <color indexed="8"/>
      <name val="Calibri"/>
      <family val="2"/>
      <scheme val="minor"/>
    </font>
    <font>
      <b/>
      <i/>
      <u/>
      <sz val="12"/>
      <color indexed="8"/>
      <name val="Calibri"/>
      <family val="2"/>
      <scheme val="minor"/>
    </font>
    <font>
      <sz val="12"/>
      <color rgb="FFFF0000"/>
      <name val="Calibri"/>
      <family val="2"/>
      <scheme val="minor"/>
    </font>
    <font>
      <vertAlign val="superscript"/>
      <sz val="12"/>
      <color indexed="8"/>
      <name val="Calibri"/>
      <family val="2"/>
      <scheme val="minor"/>
    </font>
    <font>
      <sz val="11"/>
      <color rgb="FF000000"/>
      <name val="Arial"/>
      <family val="2"/>
    </font>
    <font>
      <sz val="10"/>
      <color theme="1" tint="4.9989318521683403E-2"/>
      <name val="Calibri"/>
      <family val="2"/>
      <scheme val="minor"/>
    </font>
  </fonts>
  <fills count="2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24994659260841701"/>
        <bgColor indexed="64"/>
      </patternFill>
    </fill>
    <fill>
      <patternFill patternType="solid">
        <fgColor theme="8" tint="0.39994506668294322"/>
        <bgColor indexed="64"/>
      </patternFill>
    </fill>
    <fill>
      <patternFill patternType="solid">
        <fgColor rgb="FFFF0000"/>
        <bgColor indexed="64"/>
      </patternFill>
    </fill>
    <fill>
      <patternFill patternType="solid">
        <fgColor rgb="FF9BBB59"/>
        <bgColor indexed="64"/>
      </patternFill>
    </fill>
    <fill>
      <patternFill patternType="solid">
        <fgColor rgb="FFFFFF00"/>
        <bgColor indexed="64"/>
      </patternFill>
    </fill>
  </fills>
  <borders count="73">
    <border>
      <left/>
      <right/>
      <top/>
      <bottom/>
      <diagonal/>
    </border>
    <border>
      <left style="thin">
        <color auto="1"/>
      </left>
      <right/>
      <top style="medium">
        <color auto="1"/>
      </top>
      <bottom/>
      <diagonal/>
    </border>
    <border>
      <left/>
      <right/>
      <top style="medium">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auto="1"/>
      </right>
      <top style="medium">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diagonal/>
    </border>
  </borders>
  <cellStyleXfs count="4">
    <xf numFmtId="0" fontId="0" fillId="0" borderId="0"/>
    <xf numFmtId="0" fontId="8" fillId="0"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cellStyleXfs>
  <cellXfs count="603">
    <xf numFmtId="0" fontId="0" fillId="0" borderId="0" xfId="0"/>
    <xf numFmtId="0" fontId="0" fillId="0" borderId="0" xfId="0" applyAlignment="1">
      <alignment wrapText="1"/>
    </xf>
    <xf numFmtId="0" fontId="4" fillId="0" borderId="0" xfId="0" applyFont="1"/>
    <xf numFmtId="0" fontId="8" fillId="0" borderId="0" xfId="1"/>
    <xf numFmtId="0" fontId="8" fillId="0" borderId="0" xfId="1" applyAlignment="1">
      <alignment vertical="center"/>
    </xf>
    <xf numFmtId="0" fontId="10" fillId="0" borderId="0" xfId="0" applyFont="1" applyAlignment="1">
      <alignment horizontal="center" vertical="center"/>
    </xf>
    <xf numFmtId="0" fontId="16" fillId="0" borderId="0" xfId="0" applyFont="1" applyAlignment="1">
      <alignment horizontal="left" vertical="center" wrapText="1" readingOrder="1"/>
    </xf>
    <xf numFmtId="0" fontId="0" fillId="0" borderId="0" xfId="0" applyAlignment="1">
      <alignment horizontal="right"/>
    </xf>
    <xf numFmtId="0" fontId="0" fillId="0" borderId="0" xfId="0" applyFill="1" applyAlignment="1">
      <alignment horizontal="right"/>
    </xf>
    <xf numFmtId="0" fontId="0" fillId="0" borderId="0" xfId="0" applyFill="1" applyAlignment="1">
      <alignment horizontal="center"/>
    </xf>
    <xf numFmtId="0" fontId="0" fillId="0" borderId="0" xfId="0" applyFill="1" applyBorder="1" applyAlignment="1">
      <alignment horizontal="right"/>
    </xf>
    <xf numFmtId="0" fontId="0" fillId="0" borderId="0" xfId="0" applyFill="1" applyBorder="1" applyAlignment="1">
      <alignment horizontal="center"/>
    </xf>
    <xf numFmtId="2" fontId="0" fillId="0" borderId="0" xfId="0" applyNumberFormat="1" applyFill="1" applyBorder="1" applyAlignment="1">
      <alignment horizontal="center"/>
    </xf>
    <xf numFmtId="0" fontId="1" fillId="0" borderId="0" xfId="0" applyFont="1" applyBorder="1" applyAlignment="1">
      <alignment horizontal="left" vertical="center" wrapText="1"/>
    </xf>
    <xf numFmtId="0" fontId="0" fillId="0" borderId="0" xfId="0" applyAlignment="1">
      <alignment horizontal="left" wrapText="1"/>
    </xf>
    <xf numFmtId="0" fontId="0" fillId="0" borderId="0" xfId="0"/>
    <xf numFmtId="0" fontId="5" fillId="0" borderId="0" xfId="0" applyFont="1" applyAlignment="1">
      <alignment vertical="center" wrapText="1"/>
    </xf>
    <xf numFmtId="0" fontId="5"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Fill="1" applyAlignment="1">
      <alignment horizontal="center" vertical="center" wrapText="1"/>
    </xf>
    <xf numFmtId="0" fontId="6" fillId="0" borderId="0" xfId="0" applyFont="1" applyBorder="1" applyAlignment="1">
      <alignment vertical="center" wrapText="1"/>
    </xf>
    <xf numFmtId="14" fontId="0"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4" fillId="0" borderId="0" xfId="0" applyFont="1"/>
    <xf numFmtId="0" fontId="6" fillId="0" borderId="0" xfId="0" applyFont="1" applyFill="1" applyBorder="1" applyAlignment="1">
      <alignment vertical="center" wrapText="1"/>
    </xf>
    <xf numFmtId="0" fontId="13" fillId="0" borderId="0" xfId="0" applyFont="1" applyBorder="1" applyAlignment="1">
      <alignment horizontal="left" vertical="center" wrapText="1"/>
    </xf>
    <xf numFmtId="0" fontId="13" fillId="2" borderId="8"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0" fillId="0" borderId="0" xfId="0" applyBorder="1"/>
    <xf numFmtId="0" fontId="6" fillId="0" borderId="0" xfId="0" applyFont="1" applyBorder="1" applyAlignment="1">
      <alignment horizontal="center" vertical="center" wrapText="1"/>
    </xf>
    <xf numFmtId="0" fontId="13" fillId="0" borderId="0" xfId="0" applyFont="1" applyBorder="1" applyAlignment="1">
      <alignment horizontal="right" vertical="center" wrapText="1"/>
    </xf>
    <xf numFmtId="0" fontId="0" fillId="0" borderId="0" xfId="0" applyFill="1" applyBorder="1"/>
    <xf numFmtId="0" fontId="22" fillId="0" borderId="0" xfId="0" applyFont="1" applyFill="1" applyBorder="1" applyAlignment="1" applyProtection="1">
      <alignment horizontal="left" vertical="center" wrapText="1"/>
    </xf>
    <xf numFmtId="0" fontId="0" fillId="0" borderId="0" xfId="0" applyFont="1"/>
    <xf numFmtId="0" fontId="6" fillId="0" borderId="0" xfId="0" applyFont="1" applyFill="1" applyAlignment="1">
      <alignment vertical="center" wrapText="1"/>
    </xf>
    <xf numFmtId="0" fontId="21" fillId="0" borderId="0" xfId="0" applyFont="1" applyBorder="1" applyAlignment="1">
      <alignment horizontal="right" vertical="center" wrapText="1"/>
    </xf>
    <xf numFmtId="0" fontId="11" fillId="0" borderId="4" xfId="0" applyFont="1" applyBorder="1" applyAlignment="1">
      <alignment horizontal="left" vertical="center" wrapText="1"/>
    </xf>
    <xf numFmtId="0" fontId="11" fillId="0" borderId="0" xfId="0" applyFont="1" applyAlignment="1">
      <alignment vertical="center"/>
    </xf>
    <xf numFmtId="0" fontId="6" fillId="0" borderId="0" xfId="0" applyFont="1"/>
    <xf numFmtId="14" fontId="6" fillId="0" borderId="0" xfId="0" applyNumberFormat="1" applyFont="1" applyBorder="1" applyAlignment="1">
      <alignment horizontal="center" vertical="center" wrapText="1"/>
    </xf>
    <xf numFmtId="0" fontId="23" fillId="0" borderId="0" xfId="0" applyFont="1" applyBorder="1" applyAlignment="1">
      <alignment horizontal="left" vertical="center" wrapText="1"/>
    </xf>
    <xf numFmtId="0" fontId="6" fillId="0" borderId="0" xfId="0" applyFont="1" applyBorder="1"/>
    <xf numFmtId="0" fontId="6" fillId="6" borderId="0" xfId="0" applyFont="1" applyFill="1"/>
    <xf numFmtId="0" fontId="6" fillId="0" borderId="0" xfId="0" applyFont="1" applyBorder="1" applyAlignment="1"/>
    <xf numFmtId="0" fontId="6" fillId="0" borderId="10" xfId="0" applyFont="1" applyBorder="1" applyAlignment="1"/>
    <xf numFmtId="0" fontId="11" fillId="0" borderId="0" xfId="0" applyFont="1" applyFill="1" applyBorder="1" applyAlignment="1">
      <alignment horizontal="left" vertical="center" wrapText="1"/>
    </xf>
    <xf numFmtId="0" fontId="6" fillId="0" borderId="0" xfId="0" applyFont="1" applyFill="1"/>
    <xf numFmtId="0" fontId="6" fillId="0" borderId="0" xfId="0" applyFont="1" applyFill="1" applyBorder="1" applyAlignment="1">
      <alignment horizontal="center" vertical="top" wrapText="1"/>
    </xf>
    <xf numFmtId="0" fontId="0" fillId="0" borderId="0" xfId="0" applyFill="1"/>
    <xf numFmtId="0" fontId="0" fillId="0" borderId="0" xfId="0" applyFill="1" applyBorder="1" applyAlignment="1">
      <alignment horizontal="center" vertical="top" wrapText="1"/>
    </xf>
    <xf numFmtId="0" fontId="1" fillId="0" borderId="0" xfId="0" applyFont="1" applyBorder="1" applyAlignment="1">
      <alignment vertical="top"/>
    </xf>
    <xf numFmtId="0" fontId="1" fillId="0" borderId="0" xfId="0" applyFont="1" applyBorder="1" applyAlignment="1">
      <alignment vertical="center"/>
    </xf>
    <xf numFmtId="0" fontId="5" fillId="0" borderId="0" xfId="0" applyFont="1" applyFill="1" applyBorder="1" applyAlignment="1">
      <alignment vertical="center" wrapText="1"/>
    </xf>
    <xf numFmtId="0" fontId="0" fillId="0" borderId="0" xfId="0" applyFont="1" applyFill="1" applyBorder="1" applyAlignment="1" applyProtection="1">
      <alignment horizontal="right" vertical="top" wrapText="1"/>
    </xf>
    <xf numFmtId="0" fontId="0" fillId="0" borderId="0" xfId="0" applyFont="1" applyFill="1" applyBorder="1" applyAlignment="1" applyProtection="1">
      <alignment horizontal="center" vertical="top" wrapText="1"/>
    </xf>
    <xf numFmtId="0" fontId="23" fillId="0" borderId="0" xfId="0" applyFont="1" applyBorder="1" applyAlignment="1">
      <alignment vertical="center"/>
    </xf>
    <xf numFmtId="0" fontId="11" fillId="0" borderId="0" xfId="0" applyFont="1" applyBorder="1" applyAlignment="1">
      <alignment vertical="center"/>
    </xf>
    <xf numFmtId="0" fontId="21" fillId="0" borderId="0" xfId="0" applyFont="1" applyBorder="1" applyAlignment="1">
      <alignment horizontal="right" vertical="center"/>
    </xf>
    <xf numFmtId="0" fontId="19" fillId="0" borderId="0" xfId="0" applyFont="1" applyBorder="1" applyAlignment="1">
      <alignment vertical="center"/>
    </xf>
    <xf numFmtId="164" fontId="6" fillId="0" borderId="0" xfId="0" applyNumberFormat="1" applyFont="1" applyFill="1" applyBorder="1" applyAlignment="1">
      <alignment horizontal="center" vertical="top" wrapText="1"/>
    </xf>
    <xf numFmtId="0" fontId="25" fillId="0" borderId="0" xfId="0" applyFont="1"/>
    <xf numFmtId="3" fontId="0" fillId="0" borderId="0" xfId="0" applyNumberFormat="1"/>
    <xf numFmtId="0" fontId="0" fillId="0" borderId="0" xfId="0"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0" fontId="27" fillId="0" borderId="0" xfId="0" applyFont="1" applyProtection="1"/>
    <xf numFmtId="0" fontId="27" fillId="0" borderId="0" xfId="0" applyFont="1"/>
    <xf numFmtId="0" fontId="18" fillId="0" borderId="0" xfId="0" applyFont="1"/>
    <xf numFmtId="0" fontId="28" fillId="0" borderId="0" xfId="0" applyFont="1"/>
    <xf numFmtId="0" fontId="6"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1" fillId="0" borderId="0" xfId="0" applyFont="1" applyFill="1" applyBorder="1" applyAlignment="1">
      <alignment horizontal="center" vertical="top" wrapText="1"/>
    </xf>
    <xf numFmtId="0" fontId="0" fillId="0" borderId="0" xfId="0" applyFont="1" applyBorder="1"/>
    <xf numFmtId="0" fontId="4" fillId="0" borderId="20" xfId="0" applyFont="1" applyBorder="1" applyAlignment="1">
      <alignment horizontal="center" vertical="center"/>
    </xf>
    <xf numFmtId="0" fontId="9" fillId="0" borderId="0" xfId="0" applyFont="1" applyFill="1" applyBorder="1" applyAlignment="1" applyProtection="1">
      <alignment horizontal="left" vertical="center" wrapText="1"/>
    </xf>
    <xf numFmtId="0" fontId="4" fillId="0" borderId="20"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left"/>
    </xf>
    <xf numFmtId="0" fontId="29" fillId="0" borderId="0" xfId="0" applyFont="1" applyFill="1" applyBorder="1" applyAlignment="1" applyProtection="1">
      <alignment horizontal="right" vertical="center" wrapText="1"/>
    </xf>
    <xf numFmtId="0" fontId="30" fillId="0" borderId="0" xfId="0" applyFont="1"/>
    <xf numFmtId="0" fontId="30" fillId="0"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center" vertical="top"/>
    </xf>
    <xf numFmtId="0" fontId="31" fillId="0" borderId="0" xfId="0" applyFont="1" applyFill="1" applyAlignment="1" applyProtection="1">
      <alignment horizontal="center" vertical="top"/>
    </xf>
    <xf numFmtId="0" fontId="30" fillId="0" borderId="0" xfId="0" applyFont="1" applyBorder="1"/>
    <xf numFmtId="0" fontId="30" fillId="0" borderId="0" xfId="0" applyFont="1" applyAlignment="1">
      <alignment horizontal="center"/>
    </xf>
    <xf numFmtId="0" fontId="7" fillId="0" borderId="2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2" xfId="0" applyFont="1" applyFill="1" applyBorder="1" applyAlignment="1">
      <alignment horizontal="center" vertical="center" wrapText="1"/>
    </xf>
    <xf numFmtId="0" fontId="30" fillId="0" borderId="20" xfId="0" applyFont="1" applyBorder="1" applyAlignment="1">
      <alignment horizontal="center"/>
    </xf>
    <xf numFmtId="0" fontId="30" fillId="0" borderId="0" xfId="0" applyFont="1" applyFill="1" applyBorder="1" applyAlignment="1" applyProtection="1">
      <alignment vertical="top"/>
      <protection locked="0"/>
    </xf>
    <xf numFmtId="0" fontId="30" fillId="0" borderId="0" xfId="0" applyFont="1" applyFill="1" applyBorder="1" applyAlignment="1"/>
    <xf numFmtId="0" fontId="7" fillId="7" borderId="8" xfId="0" applyFont="1" applyFill="1" applyBorder="1" applyAlignment="1">
      <alignment horizontal="center" vertical="center" wrapText="1"/>
    </xf>
    <xf numFmtId="0" fontId="30" fillId="0" borderId="0" xfId="0" applyFont="1" applyAlignment="1">
      <alignment vertical="center" wrapText="1"/>
    </xf>
    <xf numFmtId="0" fontId="30" fillId="0" borderId="0" xfId="0" applyFont="1" applyFill="1" applyBorder="1" applyAlignment="1">
      <alignment horizontal="center" vertical="center" wrapText="1"/>
    </xf>
    <xf numFmtId="0" fontId="30" fillId="0" borderId="0" xfId="0" applyFont="1" applyBorder="1" applyAlignment="1">
      <alignment vertical="center" wrapText="1"/>
    </xf>
    <xf numFmtId="0" fontId="30" fillId="0" borderId="0" xfId="0" applyFont="1" applyBorder="1" applyAlignment="1">
      <alignment horizontal="center" vertical="center" wrapText="1"/>
    </xf>
    <xf numFmtId="0" fontId="30" fillId="0" borderId="8"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32" fillId="0" borderId="8" xfId="0" applyFont="1" applyFill="1" applyBorder="1" applyAlignment="1" applyProtection="1">
      <alignment horizontal="center" vertical="center" wrapText="1"/>
    </xf>
    <xf numFmtId="0" fontId="7" fillId="0" borderId="0" xfId="0" applyFont="1" applyFill="1" applyBorder="1" applyAlignment="1">
      <alignment horizontal="center" vertical="center" wrapText="1"/>
    </xf>
    <xf numFmtId="164" fontId="33" fillId="2" borderId="8" xfId="0" applyNumberFormat="1" applyFont="1" applyFill="1" applyBorder="1" applyAlignment="1">
      <alignment horizontal="center" vertical="center" wrapText="1"/>
    </xf>
    <xf numFmtId="0" fontId="36" fillId="0" borderId="0" xfId="0" applyFont="1" applyFill="1" applyBorder="1" applyAlignment="1" applyProtection="1">
      <alignment horizontal="left" vertical="center" wrapText="1"/>
    </xf>
    <xf numFmtId="0" fontId="33" fillId="0" borderId="0"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7" fillId="0" borderId="0" xfId="0" applyFont="1" applyFill="1" applyBorder="1" applyAlignment="1" applyProtection="1">
      <alignment horizontal="left" vertical="center" wrapText="1"/>
    </xf>
    <xf numFmtId="0" fontId="36" fillId="0" borderId="4" xfId="0" applyFont="1" applyFill="1" applyBorder="1" applyAlignment="1" applyProtection="1">
      <alignment horizontal="left" vertical="center" wrapText="1"/>
    </xf>
    <xf numFmtId="0" fontId="30" fillId="2" borderId="20" xfId="0" applyFont="1" applyFill="1" applyBorder="1" applyAlignment="1">
      <alignment horizontal="center" vertical="center" wrapText="1"/>
    </xf>
    <xf numFmtId="0" fontId="30" fillId="2" borderId="8" xfId="0" applyFont="1" applyFill="1" applyBorder="1" applyAlignment="1">
      <alignment horizontal="center" vertical="top" wrapText="1"/>
    </xf>
    <xf numFmtId="0" fontId="30" fillId="0" borderId="8" xfId="0" applyFont="1" applyFill="1" applyBorder="1" applyAlignment="1">
      <alignment vertical="center" wrapText="1"/>
    </xf>
    <xf numFmtId="0" fontId="30" fillId="0" borderId="0" xfId="0" applyFont="1" applyFill="1" applyAlignment="1">
      <alignment horizontal="center" vertical="center" wrapText="1"/>
    </xf>
    <xf numFmtId="0" fontId="30" fillId="0" borderId="0" xfId="0" applyFont="1" applyAlignment="1">
      <alignment horizontal="center" vertical="center" wrapText="1"/>
    </xf>
    <xf numFmtId="0" fontId="32" fillId="0" borderId="0" xfId="0" applyFont="1" applyFill="1" applyBorder="1" applyAlignment="1" applyProtection="1">
      <alignment horizontal="left" vertical="center" wrapText="1"/>
    </xf>
    <xf numFmtId="0" fontId="7" fillId="0" borderId="8" xfId="0" applyFont="1" applyFill="1" applyBorder="1" applyAlignment="1">
      <alignment horizontal="center" vertical="center" wrapText="1"/>
    </xf>
    <xf numFmtId="164" fontId="30" fillId="3" borderId="8" xfId="0" applyNumberFormat="1" applyFont="1" applyFill="1" applyBorder="1" applyAlignment="1" applyProtection="1">
      <alignment horizontal="center" vertical="center" wrapText="1"/>
    </xf>
    <xf numFmtId="0" fontId="30" fillId="0" borderId="8" xfId="0" applyFont="1" applyBorder="1" applyAlignment="1">
      <alignment horizontal="center" vertical="center" wrapText="1"/>
    </xf>
    <xf numFmtId="164" fontId="33" fillId="3" borderId="8" xfId="0" applyNumberFormat="1" applyFont="1" applyFill="1" applyBorder="1" applyAlignment="1">
      <alignment horizontal="center" vertical="center" wrapText="1"/>
    </xf>
    <xf numFmtId="0" fontId="33" fillId="3" borderId="13" xfId="0" applyFont="1" applyFill="1" applyBorder="1" applyAlignment="1">
      <alignment horizontal="right" vertical="center" wrapText="1"/>
    </xf>
    <xf numFmtId="9" fontId="33" fillId="3" borderId="20" xfId="3" applyFont="1" applyFill="1" applyBorder="1" applyAlignment="1">
      <alignment horizontal="center" vertical="center" wrapText="1"/>
    </xf>
    <xf numFmtId="0" fontId="30" fillId="0" borderId="12" xfId="0" applyFont="1" applyFill="1" applyBorder="1" applyAlignment="1">
      <alignment vertical="center" wrapText="1"/>
    </xf>
    <xf numFmtId="0" fontId="29" fillId="0" borderId="0" xfId="0" applyFont="1" applyFill="1" applyBorder="1" applyAlignment="1" applyProtection="1">
      <alignment horizontal="left" vertical="center" wrapText="1"/>
    </xf>
    <xf numFmtId="0" fontId="29" fillId="0" borderId="0" xfId="0" applyFont="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30" fillId="0" borderId="0" xfId="0" applyFont="1" applyFill="1" applyBorder="1" applyAlignment="1">
      <alignment vertical="center" wrapText="1"/>
    </xf>
    <xf numFmtId="0" fontId="30" fillId="0" borderId="21" xfId="0" applyFont="1" applyFill="1" applyBorder="1" applyAlignment="1">
      <alignment vertical="center" wrapText="1"/>
    </xf>
    <xf numFmtId="0" fontId="30" fillId="0" borderId="0" xfId="0" applyFont="1" applyFill="1" applyBorder="1" applyAlignment="1">
      <alignment vertical="center" wrapText="1"/>
    </xf>
    <xf numFmtId="0" fontId="7" fillId="0" borderId="0" xfId="0" applyFont="1" applyAlignment="1">
      <alignment horizontal="left"/>
    </xf>
    <xf numFmtId="0" fontId="30" fillId="0" borderId="5" xfId="0" applyFont="1" applyFill="1" applyBorder="1" applyAlignment="1">
      <alignment horizontal="center" vertical="center" wrapText="1"/>
    </xf>
    <xf numFmtId="0" fontId="33" fillId="0" borderId="12" xfId="0" applyFont="1" applyFill="1" applyBorder="1" applyAlignment="1" applyProtection="1">
      <alignment horizontal="center" vertical="center" wrapText="1"/>
    </xf>
    <xf numFmtId="0" fontId="33" fillId="2" borderId="20" xfId="0" applyFont="1" applyFill="1" applyBorder="1" applyAlignment="1" applyProtection="1">
      <alignment horizontal="center" vertical="center" wrapText="1"/>
    </xf>
    <xf numFmtId="0" fontId="41" fillId="0" borderId="9" xfId="0" applyFont="1" applyFill="1" applyBorder="1" applyAlignment="1" applyProtection="1">
      <alignment horizontal="left" vertical="center" wrapText="1"/>
    </xf>
    <xf numFmtId="0" fontId="30" fillId="3" borderId="8" xfId="0" applyFont="1" applyFill="1" applyBorder="1" applyAlignment="1">
      <alignment horizontal="right" vertical="center" wrapText="1"/>
    </xf>
    <xf numFmtId="9" fontId="30" fillId="3" borderId="20" xfId="3" applyFont="1" applyFill="1" applyBorder="1" applyAlignment="1">
      <alignment horizontal="center" vertical="center" wrapText="1"/>
    </xf>
    <xf numFmtId="0" fontId="33" fillId="0" borderId="20" xfId="0" applyFont="1" applyFill="1" applyBorder="1" applyAlignment="1" applyProtection="1">
      <alignment horizontal="center" vertical="center" wrapText="1"/>
    </xf>
    <xf numFmtId="0" fontId="30" fillId="2" borderId="20" xfId="0" applyFont="1" applyFill="1" applyBorder="1" applyAlignment="1" applyProtection="1">
      <alignment horizontal="center" vertical="center" wrapText="1"/>
    </xf>
    <xf numFmtId="0" fontId="30" fillId="3" borderId="5" xfId="0" applyFont="1" applyFill="1" applyBorder="1" applyAlignment="1">
      <alignment horizontal="right" vertical="center" wrapText="1"/>
    </xf>
    <xf numFmtId="0" fontId="30" fillId="0" borderId="0" xfId="0" applyFont="1" applyFill="1" applyAlignment="1">
      <alignment vertical="center" wrapText="1"/>
    </xf>
    <xf numFmtId="0" fontId="7" fillId="0" borderId="20" xfId="0" applyFont="1" applyBorder="1" applyAlignment="1">
      <alignment horizontal="center" vertical="center" wrapText="1"/>
    </xf>
    <xf numFmtId="0" fontId="30" fillId="0" borderId="20" xfId="0" applyFont="1" applyBorder="1" applyAlignment="1">
      <alignment horizontal="center" vertical="center" wrapText="1"/>
    </xf>
    <xf numFmtId="0" fontId="30" fillId="2" borderId="8" xfId="0" applyFont="1" applyFill="1" applyBorder="1" applyAlignment="1" applyProtection="1">
      <alignment horizontal="center" vertical="center" wrapText="1"/>
    </xf>
    <xf numFmtId="164" fontId="30" fillId="3" borderId="20" xfId="0" applyNumberFormat="1" applyFont="1" applyFill="1" applyBorder="1" applyAlignment="1">
      <alignment horizontal="center" vertical="center" wrapText="1"/>
    </xf>
    <xf numFmtId="9" fontId="30" fillId="3" borderId="8" xfId="3" applyFont="1" applyFill="1" applyBorder="1" applyAlignment="1">
      <alignment horizontal="center" vertical="center" wrapText="1"/>
    </xf>
    <xf numFmtId="0" fontId="30" fillId="0" borderId="0" xfId="0" applyFont="1" applyFill="1" applyBorder="1" applyAlignment="1">
      <alignment horizontal="center" vertical="top" wrapText="1"/>
    </xf>
    <xf numFmtId="164" fontId="30" fillId="0" borderId="0" xfId="0" applyNumberFormat="1" applyFont="1" applyFill="1" applyBorder="1" applyAlignment="1">
      <alignment horizontal="center" vertical="top" wrapText="1"/>
    </xf>
    <xf numFmtId="0" fontId="30" fillId="0" borderId="13" xfId="0" applyFont="1" applyFill="1" applyBorder="1" applyAlignment="1">
      <alignment vertical="center" wrapText="1"/>
    </xf>
    <xf numFmtId="0" fontId="30" fillId="0" borderId="0" xfId="0" applyFont="1" applyFill="1" applyBorder="1" applyAlignment="1" applyProtection="1">
      <alignment horizontal="center" vertical="center" wrapText="1"/>
    </xf>
    <xf numFmtId="0" fontId="34" fillId="0" borderId="8" xfId="0" applyFont="1" applyFill="1" applyBorder="1" applyAlignment="1">
      <alignment vertical="center" wrapText="1"/>
    </xf>
    <xf numFmtId="0" fontId="30" fillId="0" borderId="0" xfId="0" applyFont="1" applyFill="1" applyAlignment="1">
      <alignment horizontal="center" vertical="center" wrapText="1"/>
    </xf>
    <xf numFmtId="0" fontId="33" fillId="2" borderId="20" xfId="0" applyFont="1" applyFill="1" applyBorder="1" applyAlignment="1">
      <alignment horizontal="center" vertical="center" wrapText="1"/>
    </xf>
    <xf numFmtId="0" fontId="30" fillId="0" borderId="0" xfId="0" applyFont="1" applyFill="1" applyBorder="1" applyAlignment="1" applyProtection="1">
      <alignment horizontal="right" vertical="center" wrapText="1"/>
    </xf>
    <xf numFmtId="0" fontId="30" fillId="3" borderId="13" xfId="0" applyFont="1" applyFill="1" applyBorder="1" applyAlignment="1">
      <alignment horizontal="right" vertical="center" wrapText="1"/>
    </xf>
    <xf numFmtId="0" fontId="43" fillId="0" borderId="0"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2" fillId="0" borderId="8" xfId="0" applyFont="1" applyFill="1" applyBorder="1" applyAlignment="1" applyProtection="1">
      <alignment horizontal="left" vertical="center" wrapText="1"/>
    </xf>
    <xf numFmtId="164" fontId="30" fillId="3" borderId="8" xfId="0" applyNumberFormat="1" applyFont="1" applyFill="1" applyBorder="1" applyAlignment="1">
      <alignment horizontal="center" vertical="top" wrapText="1"/>
    </xf>
    <xf numFmtId="0" fontId="7" fillId="0" borderId="13" xfId="0" applyFont="1" applyFill="1" applyBorder="1" applyAlignment="1">
      <alignment horizontal="center" vertical="center" wrapText="1"/>
    </xf>
    <xf numFmtId="164" fontId="30" fillId="2" borderId="8" xfId="0" applyNumberFormat="1" applyFont="1" applyFill="1" applyBorder="1" applyAlignment="1">
      <alignment horizontal="center" vertical="top" wrapText="1"/>
    </xf>
    <xf numFmtId="0" fontId="30" fillId="0" borderId="0" xfId="0" applyFont="1" applyFill="1" applyBorder="1" applyAlignment="1">
      <alignment horizontal="right" vertical="center" wrapText="1"/>
    </xf>
    <xf numFmtId="9" fontId="30" fillId="0" borderId="0" xfId="3" applyFont="1" applyFill="1" applyBorder="1" applyAlignment="1">
      <alignment horizontal="center" vertical="center" wrapText="1"/>
    </xf>
    <xf numFmtId="2" fontId="30" fillId="3" borderId="8" xfId="0" applyNumberFormat="1" applyFont="1" applyFill="1" applyBorder="1" applyAlignment="1">
      <alignment horizontal="center" vertical="top" wrapText="1"/>
    </xf>
    <xf numFmtId="14" fontId="30" fillId="0" borderId="0" xfId="0" applyNumberFormat="1" applyFont="1" applyBorder="1" applyAlignment="1">
      <alignment horizontal="right" vertical="center"/>
    </xf>
    <xf numFmtId="165" fontId="30" fillId="0" borderId="0" xfId="0" applyNumberFormat="1" applyFont="1" applyBorder="1" applyAlignment="1">
      <alignment horizontal="center" vertical="center"/>
    </xf>
    <xf numFmtId="0" fontId="30" fillId="0" borderId="0" xfId="0" applyFont="1" applyBorder="1" applyAlignment="1">
      <alignment horizontal="center" vertical="top" wrapText="1"/>
    </xf>
    <xf numFmtId="0" fontId="0" fillId="0" borderId="0" xfId="0" applyFill="1" applyBorder="1" applyAlignment="1">
      <alignment vertical="center"/>
    </xf>
    <xf numFmtId="0" fontId="5" fillId="0" borderId="0" xfId="0" applyFont="1" applyBorder="1" applyAlignment="1">
      <alignment vertical="center" wrapText="1"/>
    </xf>
    <xf numFmtId="0" fontId="18" fillId="0" borderId="0" xfId="0" applyFont="1" applyBorder="1" applyAlignment="1" applyProtection="1">
      <alignment horizontal="center" vertical="center" wrapText="1"/>
    </xf>
    <xf numFmtId="14" fontId="30" fillId="0" borderId="0" xfId="0" applyNumberFormat="1" applyFont="1" applyBorder="1" applyAlignment="1">
      <alignment vertical="center" wrapText="1"/>
    </xf>
    <xf numFmtId="0" fontId="30" fillId="2" borderId="29" xfId="0" applyFont="1" applyFill="1" applyBorder="1" applyAlignment="1">
      <alignment horizontal="center" vertical="center"/>
    </xf>
    <xf numFmtId="0" fontId="30" fillId="2" borderId="30" xfId="0" applyFont="1" applyFill="1" applyBorder="1" applyAlignment="1">
      <alignment horizontal="center" vertical="center"/>
    </xf>
    <xf numFmtId="0" fontId="33" fillId="2" borderId="29" xfId="0" applyFont="1" applyFill="1" applyBorder="1" applyAlignment="1">
      <alignment horizontal="center" vertical="center"/>
    </xf>
    <xf numFmtId="0" fontId="34" fillId="2" borderId="29" xfId="0" applyFont="1" applyFill="1" applyBorder="1" applyAlignment="1">
      <alignment horizontal="center" vertical="center"/>
    </xf>
    <xf numFmtId="0" fontId="7" fillId="0" borderId="0" xfId="0" applyFont="1" applyBorder="1" applyAlignment="1">
      <alignment horizontal="center" wrapText="1"/>
    </xf>
    <xf numFmtId="0" fontId="7" fillId="0" borderId="36" xfId="0" applyFont="1" applyFill="1" applyBorder="1" applyAlignment="1">
      <alignment horizontal="center" vertical="center" wrapText="1"/>
    </xf>
    <xf numFmtId="0" fontId="30" fillId="2" borderId="37" xfId="0" applyFont="1" applyFill="1" applyBorder="1" applyAlignment="1">
      <alignment horizontal="center" vertical="center"/>
    </xf>
    <xf numFmtId="0" fontId="30" fillId="2" borderId="38" xfId="0" applyFont="1" applyFill="1" applyBorder="1" applyAlignment="1">
      <alignment horizontal="center" vertical="center"/>
    </xf>
    <xf numFmtId="0" fontId="30" fillId="0" borderId="0" xfId="0" applyFont="1" applyFill="1" applyBorder="1" applyAlignment="1" applyProtection="1">
      <alignment horizontal="left" vertical="top" wrapText="1"/>
    </xf>
    <xf numFmtId="164" fontId="30" fillId="0" borderId="0" xfId="0" applyNumberFormat="1" applyFont="1" applyFill="1" applyBorder="1" applyAlignment="1">
      <alignment horizontal="center" vertical="center" wrapText="1"/>
    </xf>
    <xf numFmtId="0" fontId="30" fillId="0" borderId="8" xfId="0" applyFont="1" applyBorder="1" applyAlignment="1">
      <alignment horizontal="center" vertical="center" wrapText="1"/>
    </xf>
    <xf numFmtId="0" fontId="33" fillId="0" borderId="38"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29" fillId="0" borderId="0" xfId="0" applyFont="1" applyFill="1" applyBorder="1" applyAlignment="1" applyProtection="1">
      <alignment horizontal="right" vertical="center" wrapText="1"/>
    </xf>
    <xf numFmtId="0" fontId="30" fillId="4" borderId="0" xfId="0" applyFont="1" applyFill="1"/>
    <xf numFmtId="0" fontId="11" fillId="0" borderId="9"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29" fillId="0" borderId="0" xfId="0" applyFont="1" applyFill="1" applyBorder="1" applyAlignment="1" applyProtection="1">
      <alignment horizontal="right" vertical="center" wrapText="1"/>
    </xf>
    <xf numFmtId="0" fontId="31" fillId="0" borderId="0" xfId="0" applyFont="1" applyFill="1" applyBorder="1" applyAlignment="1" applyProtection="1">
      <alignment horizontal="center" vertical="top"/>
    </xf>
    <xf numFmtId="0" fontId="30" fillId="0" borderId="8" xfId="0" applyFont="1" applyBorder="1" applyAlignment="1">
      <alignment horizontal="center" vertical="center" wrapText="1"/>
    </xf>
    <xf numFmtId="14" fontId="30"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right" vertical="center"/>
      <protection locked="0"/>
    </xf>
    <xf numFmtId="0" fontId="0" fillId="0" borderId="0" xfId="0" applyFont="1" applyAlignment="1">
      <alignment horizontal="right"/>
    </xf>
    <xf numFmtId="0" fontId="7" fillId="9" borderId="0" xfId="0" applyFont="1" applyFill="1"/>
    <xf numFmtId="0" fontId="30" fillId="9" borderId="0" xfId="0" applyFont="1" applyFill="1"/>
    <xf numFmtId="0" fontId="30" fillId="10" borderId="0" xfId="0" applyFont="1" applyFill="1"/>
    <xf numFmtId="0" fontId="30" fillId="0" borderId="0" xfId="0" applyFont="1" applyFill="1"/>
    <xf numFmtId="0" fontId="30" fillId="0" borderId="0" xfId="0" applyFont="1" applyFill="1" applyBorder="1"/>
    <xf numFmtId="0" fontId="30" fillId="0" borderId="39" xfId="0" applyFont="1" applyBorder="1" applyAlignment="1">
      <alignment horizontal="center"/>
    </xf>
    <xf numFmtId="0" fontId="30" fillId="0" borderId="0" xfId="0" applyFont="1" applyFill="1" applyBorder="1" applyAlignment="1">
      <alignment horizontal="center"/>
    </xf>
    <xf numFmtId="0" fontId="30" fillId="0" borderId="39" xfId="0" applyFont="1" applyBorder="1" applyAlignment="1">
      <alignment horizontal="left"/>
    </xf>
    <xf numFmtId="0" fontId="30" fillId="0" borderId="0" xfId="0" applyFont="1" applyFill="1" applyBorder="1" applyAlignment="1">
      <alignment horizontal="left" vertical="center"/>
    </xf>
    <xf numFmtId="9" fontId="30" fillId="0" borderId="0" xfId="0" applyNumberFormat="1" applyFont="1" applyFill="1" applyBorder="1" applyAlignment="1">
      <alignment horizontal="center"/>
    </xf>
    <xf numFmtId="0" fontId="31" fillId="0" borderId="0" xfId="0" applyFont="1" applyAlignment="1">
      <alignment horizontal="center"/>
    </xf>
    <xf numFmtId="0" fontId="30" fillId="0" borderId="32" xfId="0" applyFont="1" applyBorder="1" applyAlignment="1">
      <alignment horizontal="center"/>
    </xf>
    <xf numFmtId="0" fontId="30" fillId="0" borderId="31" xfId="0" applyFont="1" applyBorder="1" applyAlignment="1">
      <alignment horizontal="center"/>
    </xf>
    <xf numFmtId="0" fontId="30" fillId="0" borderId="31" xfId="0" applyFont="1" applyBorder="1"/>
    <xf numFmtId="0" fontId="30" fillId="0" borderId="31" xfId="0" applyFont="1" applyBorder="1" applyAlignment="1">
      <alignment horizontal="left" vertical="center"/>
    </xf>
    <xf numFmtId="9" fontId="30" fillId="0" borderId="31" xfId="0" applyNumberFormat="1" applyFont="1" applyBorder="1" applyAlignment="1">
      <alignment horizontal="center"/>
    </xf>
    <xf numFmtId="0" fontId="30" fillId="0" borderId="8" xfId="0" applyFont="1" applyBorder="1" applyAlignment="1">
      <alignment horizontal="center"/>
    </xf>
    <xf numFmtId="3" fontId="30" fillId="0" borderId="0" xfId="0" applyNumberFormat="1" applyFont="1"/>
    <xf numFmtId="0" fontId="30" fillId="0" borderId="8" xfId="0" applyFont="1" applyBorder="1"/>
    <xf numFmtId="0" fontId="30" fillId="0" borderId="8" xfId="0" applyFont="1" applyBorder="1" applyAlignment="1">
      <alignment vertical="center" wrapText="1"/>
    </xf>
    <xf numFmtId="9" fontId="30" fillId="0" borderId="8" xfId="0" applyNumberFormat="1" applyFont="1" applyBorder="1"/>
    <xf numFmtId="0" fontId="30" fillId="0" borderId="5" xfId="0" applyFont="1" applyBorder="1"/>
    <xf numFmtId="9" fontId="30" fillId="0" borderId="0" xfId="0" applyNumberFormat="1" applyFont="1" applyAlignment="1">
      <alignment vertical="center" wrapText="1"/>
    </xf>
    <xf numFmtId="16" fontId="30" fillId="0" borderId="0" xfId="0" applyNumberFormat="1" applyFont="1" applyAlignment="1">
      <alignment vertical="center" wrapText="1"/>
    </xf>
    <xf numFmtId="0" fontId="30" fillId="0" borderId="8" xfId="0" applyFont="1" applyFill="1" applyBorder="1"/>
    <xf numFmtId="9" fontId="30" fillId="0" borderId="8" xfId="0" applyNumberFormat="1" applyFont="1" applyFill="1" applyBorder="1"/>
    <xf numFmtId="0" fontId="7" fillId="0" borderId="0" xfId="0" applyFont="1"/>
    <xf numFmtId="9" fontId="30" fillId="0" borderId="0" xfId="0" applyNumberFormat="1" applyFont="1" applyBorder="1"/>
    <xf numFmtId="0" fontId="30" fillId="0" borderId="12" xfId="0" applyFont="1" applyBorder="1"/>
    <xf numFmtId="0" fontId="30" fillId="0" borderId="0" xfId="0" applyFont="1" applyBorder="1" applyAlignment="1">
      <alignment horizontal="left" vertical="top" wrapText="1" indent="2"/>
    </xf>
    <xf numFmtId="0" fontId="7" fillId="0" borderId="0" xfId="0" applyFont="1" applyBorder="1"/>
    <xf numFmtId="164" fontId="30" fillId="2" borderId="39" xfId="0" applyNumberFormat="1" applyFont="1" applyFill="1" applyBorder="1" applyAlignment="1">
      <alignment horizontal="center" vertical="top" wrapText="1"/>
    </xf>
    <xf numFmtId="0" fontId="0" fillId="0" borderId="0" xfId="0" applyAlignment="1">
      <alignment wrapText="1"/>
    </xf>
    <xf numFmtId="0" fontId="28" fillId="0" borderId="0" xfId="0" applyFont="1" applyAlignment="1">
      <alignment wrapText="1"/>
    </xf>
    <xf numFmtId="0" fontId="0" fillId="0" borderId="0" xfId="0" applyAlignment="1">
      <alignment wrapText="1"/>
    </xf>
    <xf numFmtId="49" fontId="28" fillId="0" borderId="0" xfId="0" applyNumberFormat="1" applyFont="1" applyAlignment="1">
      <alignment wrapText="1"/>
    </xf>
    <xf numFmtId="0" fontId="27" fillId="0" borderId="0" xfId="0" applyFont="1" applyAlignment="1">
      <alignment wrapText="1"/>
    </xf>
    <xf numFmtId="0" fontId="0" fillId="0" borderId="0" xfId="0" applyAlignment="1"/>
    <xf numFmtId="0" fontId="13" fillId="2" borderId="43"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4" fillId="0" borderId="0" xfId="0" applyFont="1" applyAlignment="1">
      <alignment wrapText="1"/>
    </xf>
    <xf numFmtId="0" fontId="17" fillId="0" borderId="18" xfId="0" applyFont="1" applyBorder="1" applyAlignment="1">
      <alignment vertical="top"/>
    </xf>
    <xf numFmtId="0" fontId="17" fillId="0" borderId="47" xfId="0" applyFont="1" applyBorder="1" applyAlignment="1"/>
    <xf numFmtId="0" fontId="17" fillId="0" borderId="47" xfId="0" applyFont="1" applyBorder="1" applyAlignment="1">
      <alignment vertical="top" wrapText="1"/>
    </xf>
    <xf numFmtId="0" fontId="17" fillId="0" borderId="47" xfId="0" applyFont="1" applyBorder="1" applyAlignment="1">
      <alignment vertical="top"/>
    </xf>
    <xf numFmtId="0" fontId="17" fillId="0" borderId="47" xfId="0" applyFont="1" applyBorder="1" applyAlignment="1">
      <alignment wrapText="1"/>
    </xf>
    <xf numFmtId="0" fontId="17" fillId="0" borderId="49" xfId="0" applyFont="1" applyBorder="1" applyAlignment="1">
      <alignment vertical="top" wrapText="1"/>
    </xf>
    <xf numFmtId="0" fontId="14" fillId="5" borderId="52" xfId="0" applyFont="1" applyFill="1" applyBorder="1" applyAlignment="1"/>
    <xf numFmtId="0" fontId="14" fillId="5" borderId="53" xfId="0" applyFont="1" applyFill="1" applyBorder="1" applyAlignment="1"/>
    <xf numFmtId="0" fontId="12" fillId="0" borderId="53" xfId="0" applyFont="1" applyBorder="1" applyAlignment="1"/>
    <xf numFmtId="0" fontId="15" fillId="5" borderId="52" xfId="0" applyFont="1" applyFill="1" applyBorder="1" applyAlignment="1">
      <alignment wrapText="1"/>
    </xf>
    <xf numFmtId="0" fontId="15" fillId="5" borderId="53" xfId="0" applyFont="1" applyFill="1" applyBorder="1" applyAlignment="1">
      <alignment wrapText="1"/>
    </xf>
    <xf numFmtId="0" fontId="45" fillId="0" borderId="0" xfId="0" applyFont="1" applyAlignment="1">
      <alignment horizontal="left" vertical="center" wrapText="1" readingOrder="1"/>
    </xf>
    <xf numFmtId="0" fontId="30" fillId="4" borderId="54" xfId="0" applyFont="1" applyFill="1" applyBorder="1"/>
    <xf numFmtId="2" fontId="30" fillId="2" borderId="39" xfId="0" applyNumberFormat="1" applyFont="1" applyFill="1" applyBorder="1" applyAlignment="1" applyProtection="1">
      <alignment horizontal="center" vertical="center"/>
      <protection locked="0"/>
    </xf>
    <xf numFmtId="2" fontId="30" fillId="2" borderId="20" xfId="0" applyNumberFormat="1" applyFont="1" applyFill="1" applyBorder="1" applyAlignment="1" applyProtection="1">
      <alignment horizontal="center" vertical="center" wrapText="1"/>
      <protection locked="0"/>
    </xf>
    <xf numFmtId="0" fontId="30" fillId="0" borderId="57" xfId="0" applyFont="1" applyBorder="1" applyAlignment="1">
      <alignment horizontal="center" vertical="center" wrapText="1"/>
    </xf>
    <xf numFmtId="2" fontId="30" fillId="3" borderId="57" xfId="0" applyNumberFormat="1" applyFont="1" applyFill="1" applyBorder="1" applyAlignment="1">
      <alignment horizontal="center" vertical="center" wrapText="1"/>
    </xf>
    <xf numFmtId="0" fontId="30" fillId="3" borderId="57" xfId="0" applyFont="1" applyFill="1" applyBorder="1" applyAlignment="1">
      <alignment vertical="center" wrapText="1"/>
    </xf>
    <xf numFmtId="0" fontId="30" fillId="3" borderId="57" xfId="0" applyFont="1" applyFill="1" applyBorder="1" applyAlignment="1">
      <alignment horizontal="center" vertical="center" wrapText="1"/>
    </xf>
    <xf numFmtId="0" fontId="30" fillId="0" borderId="57" xfId="0" applyFont="1" applyBorder="1" applyAlignment="1">
      <alignment horizontal="center" wrapText="1"/>
    </xf>
    <xf numFmtId="0" fontId="30" fillId="2" borderId="57" xfId="0" applyFont="1" applyFill="1" applyBorder="1" applyAlignment="1">
      <alignment horizontal="center" vertical="center" wrapText="1"/>
    </xf>
    <xf numFmtId="164" fontId="30" fillId="4" borderId="39" xfId="0" applyNumberFormat="1"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wrapText="1"/>
    </xf>
    <xf numFmtId="1" fontId="33" fillId="3" borderId="57" xfId="0" applyNumberFormat="1" applyFont="1" applyFill="1" applyBorder="1" applyAlignment="1">
      <alignment horizontal="center" vertical="center" wrapText="1"/>
    </xf>
    <xf numFmtId="0" fontId="6" fillId="0" borderId="0" xfId="0" applyFont="1" applyBorder="1" applyAlignment="1">
      <alignment vertical="center" wrapText="1"/>
    </xf>
    <xf numFmtId="0" fontId="28" fillId="0" borderId="0" xfId="0" applyFont="1" applyBorder="1" applyAlignment="1">
      <alignment horizontal="left" vertical="center"/>
    </xf>
    <xf numFmtId="0" fontId="30" fillId="3" borderId="57" xfId="0" applyFont="1" applyFill="1" applyBorder="1" applyAlignment="1">
      <alignment horizontal="center" vertical="center" wrapText="1"/>
    </xf>
    <xf numFmtId="0" fontId="0" fillId="0" borderId="0" xfId="0"/>
    <xf numFmtId="2" fontId="46" fillId="0" borderId="0" xfId="0" applyNumberFormat="1" applyFont="1" applyFill="1" applyBorder="1" applyAlignment="1" applyProtection="1">
      <alignment horizontal="left" vertical="center" wrapText="1"/>
    </xf>
    <xf numFmtId="0" fontId="30" fillId="3" borderId="57" xfId="0" applyFont="1" applyFill="1" applyBorder="1" applyAlignment="1">
      <alignment horizontal="center" vertical="center"/>
    </xf>
    <xf numFmtId="0" fontId="6" fillId="0" borderId="0" xfId="0" applyFont="1" applyBorder="1" applyAlignment="1">
      <alignment vertical="center" wrapText="1"/>
    </xf>
    <xf numFmtId="0" fontId="28" fillId="0" borderId="0" xfId="0" applyFont="1" applyBorder="1" applyAlignment="1">
      <alignment vertical="center"/>
    </xf>
    <xf numFmtId="0" fontId="28" fillId="7" borderId="57" xfId="0" applyFont="1" applyFill="1" applyBorder="1" applyAlignment="1" applyProtection="1">
      <alignment horizontal="center" vertical="center" wrapText="1"/>
    </xf>
    <xf numFmtId="2" fontId="28" fillId="7" borderId="57" xfId="0" applyNumberFormat="1" applyFont="1" applyFill="1" applyBorder="1" applyAlignment="1" applyProtection="1">
      <alignment horizontal="center" vertical="center" wrapText="1"/>
    </xf>
    <xf numFmtId="1" fontId="30" fillId="13" borderId="57" xfId="0" applyNumberFormat="1" applyFont="1" applyFill="1" applyBorder="1" applyAlignment="1" applyProtection="1">
      <alignment horizontal="center" vertical="center" wrapText="1"/>
    </xf>
    <xf numFmtId="0" fontId="30" fillId="12" borderId="57" xfId="0" applyFont="1" applyFill="1" applyBorder="1" applyAlignment="1">
      <alignment horizontal="center"/>
    </xf>
    <xf numFmtId="0" fontId="7" fillId="3" borderId="57" xfId="2" applyNumberFormat="1" applyFont="1" applyFill="1" applyBorder="1" applyAlignment="1" applyProtection="1">
      <alignment horizontal="center" vertical="center"/>
    </xf>
    <xf numFmtId="0" fontId="30" fillId="3" borderId="57" xfId="0" applyFont="1" applyFill="1" applyBorder="1" applyAlignment="1">
      <alignment horizontal="center" vertical="top" wrapText="1"/>
    </xf>
    <xf numFmtId="0" fontId="30" fillId="13" borderId="57" xfId="0" applyFont="1" applyFill="1" applyBorder="1" applyAlignment="1">
      <alignment horizontal="center" vertical="top" wrapText="1"/>
    </xf>
    <xf numFmtId="166" fontId="30" fillId="3" borderId="57" xfId="2" applyNumberFormat="1" applyFont="1" applyFill="1" applyBorder="1" applyAlignment="1">
      <alignment horizontal="center" vertical="top" wrapText="1"/>
    </xf>
    <xf numFmtId="0" fontId="30" fillId="4" borderId="57" xfId="0" applyFont="1" applyFill="1" applyBorder="1" applyAlignment="1">
      <alignment horizontal="center" vertical="center" wrapText="1"/>
    </xf>
    <xf numFmtId="0" fontId="30" fillId="15" borderId="57" xfId="0" applyFont="1" applyFill="1" applyBorder="1" applyAlignment="1">
      <alignment horizontal="center" vertical="center" textRotation="90" wrapText="1"/>
    </xf>
    <xf numFmtId="0" fontId="30" fillId="4" borderId="57" xfId="0" applyFont="1" applyFill="1" applyBorder="1" applyAlignment="1">
      <alignment horizontal="center" vertical="center" textRotation="90" wrapText="1"/>
    </xf>
    <xf numFmtId="0" fontId="30" fillId="4" borderId="57" xfId="0" applyFont="1" applyFill="1" applyBorder="1" applyAlignment="1">
      <alignment horizontal="center" vertical="top" wrapText="1"/>
    </xf>
    <xf numFmtId="0" fontId="30" fillId="15" borderId="57" xfId="0" applyFont="1" applyFill="1" applyBorder="1" applyAlignment="1">
      <alignment horizontal="center" vertical="top" wrapText="1"/>
    </xf>
    <xf numFmtId="0" fontId="30" fillId="3" borderId="57" xfId="0" applyFont="1" applyFill="1" applyBorder="1" applyAlignment="1">
      <alignment horizontal="center" vertical="center" textRotation="90" wrapText="1"/>
    </xf>
    <xf numFmtId="3" fontId="30" fillId="4" borderId="57" xfId="0" applyNumberFormat="1" applyFont="1" applyFill="1" applyBorder="1" applyAlignment="1">
      <alignment horizontal="center" vertical="top" wrapText="1"/>
    </xf>
    <xf numFmtId="3" fontId="30" fillId="15" borderId="57" xfId="0" applyNumberFormat="1" applyFont="1" applyFill="1" applyBorder="1" applyAlignment="1">
      <alignment horizontal="center" vertical="top" wrapText="1"/>
    </xf>
    <xf numFmtId="3" fontId="30" fillId="3" borderId="57" xfId="0" applyNumberFormat="1" applyFont="1" applyFill="1" applyBorder="1" applyAlignment="1">
      <alignment horizontal="center" vertical="top" wrapText="1"/>
    </xf>
    <xf numFmtId="3" fontId="30" fillId="15" borderId="57" xfId="0" applyNumberFormat="1" applyFont="1" applyFill="1" applyBorder="1" applyAlignment="1">
      <alignment horizontal="center"/>
    </xf>
    <xf numFmtId="3" fontId="30" fillId="4" borderId="57" xfId="0" applyNumberFormat="1" applyFont="1" applyFill="1" applyBorder="1" applyAlignment="1">
      <alignment horizontal="center"/>
    </xf>
    <xf numFmtId="3" fontId="30" fillId="3" borderId="57" xfId="0" applyNumberFormat="1" applyFont="1" applyFill="1" applyBorder="1" applyAlignment="1">
      <alignment horizontal="center"/>
    </xf>
    <xf numFmtId="165" fontId="7" fillId="15" borderId="57" xfId="0" applyNumberFormat="1" applyFont="1" applyFill="1" applyBorder="1" applyAlignment="1">
      <alignment horizontal="center" vertical="top" wrapText="1"/>
    </xf>
    <xf numFmtId="165" fontId="7" fillId="4" borderId="57" xfId="0" applyNumberFormat="1" applyFont="1" applyFill="1" applyBorder="1" applyAlignment="1">
      <alignment horizontal="center" vertical="top" wrapText="1"/>
    </xf>
    <xf numFmtId="165" fontId="7" fillId="3" borderId="57" xfId="0" applyNumberFormat="1" applyFont="1" applyFill="1" applyBorder="1" applyAlignment="1">
      <alignment horizontal="center" vertical="top" wrapText="1"/>
    </xf>
    <xf numFmtId="0" fontId="30" fillId="15" borderId="61" xfId="0" applyFont="1" applyFill="1" applyBorder="1" applyAlignment="1">
      <alignment horizontal="center" vertical="center" textRotation="90" wrapText="1"/>
    </xf>
    <xf numFmtId="0" fontId="30" fillId="4" borderId="61" xfId="0" applyFont="1" applyFill="1" applyBorder="1" applyAlignment="1">
      <alignment horizontal="center" vertical="center" textRotation="90" wrapText="1"/>
    </xf>
    <xf numFmtId="0" fontId="30" fillId="3" borderId="61" xfId="0" applyFont="1" applyFill="1" applyBorder="1" applyAlignment="1">
      <alignment horizontal="center" vertical="center" textRotation="90" wrapText="1"/>
    </xf>
    <xf numFmtId="165" fontId="30" fillId="15" borderId="57" xfId="0" applyNumberFormat="1" applyFont="1" applyFill="1" applyBorder="1" applyAlignment="1">
      <alignment horizontal="center" vertical="center"/>
    </xf>
    <xf numFmtId="165" fontId="30" fillId="4" borderId="57" xfId="0" applyNumberFormat="1" applyFont="1" applyFill="1" applyBorder="1" applyAlignment="1">
      <alignment horizontal="center" vertical="center"/>
    </xf>
    <xf numFmtId="165" fontId="30" fillId="3" borderId="57" xfId="0" applyNumberFormat="1" applyFont="1" applyFill="1" applyBorder="1" applyAlignment="1">
      <alignment horizontal="center" vertical="center"/>
    </xf>
    <xf numFmtId="9" fontId="30" fillId="3" borderId="57" xfId="0" applyNumberFormat="1" applyFont="1" applyFill="1" applyBorder="1" applyAlignment="1">
      <alignment horizontal="center" vertical="center"/>
    </xf>
    <xf numFmtId="0" fontId="0" fillId="0" borderId="4" xfId="0" applyBorder="1" applyAlignment="1">
      <alignment wrapText="1"/>
    </xf>
    <xf numFmtId="0" fontId="6" fillId="0" borderId="57" xfId="0" applyFont="1" applyBorder="1"/>
    <xf numFmtId="0" fontId="6" fillId="0" borderId="0" xfId="0" applyFont="1" applyFill="1" applyBorder="1"/>
    <xf numFmtId="0" fontId="6" fillId="2" borderId="20"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7" xfId="0" applyFont="1" applyFill="1" applyBorder="1" applyAlignment="1">
      <alignment horizontal="center" vertical="center"/>
    </xf>
    <xf numFmtId="0" fontId="6" fillId="9" borderId="57" xfId="0" applyFont="1" applyFill="1" applyBorder="1" applyAlignment="1">
      <alignment horizontal="center" vertical="center" wrapText="1"/>
    </xf>
    <xf numFmtId="0" fontId="6" fillId="0" borderId="57" xfId="0" applyFont="1" applyFill="1" applyBorder="1"/>
    <xf numFmtId="1" fontId="30" fillId="3" borderId="57" xfId="0" applyNumberFormat="1" applyFont="1" applyFill="1" applyBorder="1" applyAlignment="1">
      <alignment horizontal="center" vertical="top" wrapText="1"/>
    </xf>
    <xf numFmtId="1" fontId="30" fillId="4" borderId="57" xfId="0" applyNumberFormat="1" applyFont="1" applyFill="1" applyBorder="1" applyAlignment="1">
      <alignment horizontal="center" vertical="top" wrapText="1"/>
    </xf>
    <xf numFmtId="0" fontId="30" fillId="0" borderId="12" xfId="0" applyFont="1" applyFill="1" applyBorder="1" applyAlignment="1">
      <alignment horizontal="center" vertical="center" wrapText="1"/>
    </xf>
    <xf numFmtId="0" fontId="6" fillId="0" borderId="0" xfId="0" applyFont="1" applyBorder="1" applyAlignment="1">
      <alignment vertical="center" wrapText="1"/>
    </xf>
    <xf numFmtId="0" fontId="30" fillId="13" borderId="57" xfId="0" applyFont="1" applyFill="1" applyBorder="1" applyAlignment="1">
      <alignment horizontal="center" vertical="center" textRotation="90" wrapText="1"/>
    </xf>
    <xf numFmtId="0" fontId="6" fillId="2" borderId="56" xfId="0" applyFont="1" applyFill="1" applyBorder="1"/>
    <xf numFmtId="0" fontId="30" fillId="13" borderId="64" xfId="0" applyFont="1" applyFill="1" applyBorder="1" applyAlignment="1">
      <alignment horizontal="center" vertical="center" textRotation="90" wrapText="1"/>
    </xf>
    <xf numFmtId="0" fontId="30" fillId="13" borderId="65" xfId="0" applyFont="1" applyFill="1" applyBorder="1" applyAlignment="1">
      <alignment horizontal="center" vertical="center" textRotation="90" wrapText="1"/>
    </xf>
    <xf numFmtId="0" fontId="6" fillId="2" borderId="64" xfId="0" applyFont="1" applyFill="1" applyBorder="1" applyAlignment="1">
      <alignment horizontal="center" vertical="center"/>
    </xf>
    <xf numFmtId="0" fontId="6" fillId="2" borderId="65" xfId="0" applyFont="1" applyFill="1" applyBorder="1" applyAlignment="1">
      <alignment horizontal="center" vertical="center"/>
    </xf>
    <xf numFmtId="0" fontId="30" fillId="3" borderId="64" xfId="0" applyFont="1" applyFill="1" applyBorder="1" applyAlignment="1">
      <alignment horizontal="center" vertical="center" textRotation="90" wrapText="1"/>
    </xf>
    <xf numFmtId="0" fontId="30" fillId="3" borderId="65" xfId="0" applyFont="1" applyFill="1" applyBorder="1" applyAlignment="1">
      <alignment horizontal="center" vertical="center" textRotation="90" wrapText="1"/>
    </xf>
    <xf numFmtId="0" fontId="6" fillId="0" borderId="56" xfId="0" applyFont="1" applyFill="1" applyBorder="1" applyAlignment="1">
      <alignment vertical="center"/>
    </xf>
    <xf numFmtId="0" fontId="6" fillId="0" borderId="0" xfId="0" applyFont="1" applyBorder="1" applyAlignment="1">
      <alignment vertical="center"/>
    </xf>
    <xf numFmtId="1" fontId="25" fillId="0" borderId="0" xfId="0" applyNumberFormat="1" applyFont="1" applyBorder="1" applyAlignment="1">
      <alignment horizontal="right"/>
    </xf>
    <xf numFmtId="0" fontId="25" fillId="0" borderId="0" xfId="0" applyFont="1" applyBorder="1"/>
    <xf numFmtId="1" fontId="25" fillId="0" borderId="0" xfId="0" applyNumberFormat="1" applyFont="1" applyBorder="1" applyAlignment="1">
      <alignment horizontal="right" vertical="center"/>
    </xf>
    <xf numFmtId="1" fontId="25" fillId="0" borderId="0" xfId="0" applyNumberFormat="1" applyFont="1" applyBorder="1"/>
    <xf numFmtId="0" fontId="6" fillId="6" borderId="0" xfId="0" applyFont="1" applyFill="1" applyBorder="1"/>
    <xf numFmtId="1" fontId="6" fillId="0" borderId="57" xfId="0" applyNumberFormat="1" applyFont="1" applyFill="1" applyBorder="1"/>
    <xf numFmtId="0" fontId="6" fillId="0" borderId="57" xfId="0" applyFont="1" applyFill="1" applyBorder="1" applyAlignment="1">
      <alignment vertical="center" wrapText="1"/>
    </xf>
    <xf numFmtId="1" fontId="6" fillId="0" borderId="57" xfId="0" applyNumberFormat="1" applyFont="1" applyFill="1" applyBorder="1" applyAlignment="1">
      <alignment vertical="center" wrapText="1"/>
    </xf>
    <xf numFmtId="0" fontId="33" fillId="0" borderId="57" xfId="0" applyFont="1" applyFill="1" applyBorder="1" applyAlignment="1">
      <alignment horizontal="center" vertical="center"/>
    </xf>
    <xf numFmtId="0" fontId="33" fillId="0" borderId="57" xfId="0" applyFont="1" applyFill="1" applyBorder="1" applyAlignment="1">
      <alignment horizontal="center" vertical="center" wrapText="1"/>
    </xf>
    <xf numFmtId="0" fontId="30" fillId="0" borderId="57" xfId="0" applyFont="1" applyBorder="1"/>
    <xf numFmtId="14" fontId="6" fillId="0" borderId="57" xfId="0" applyNumberFormat="1" applyFont="1" applyFill="1" applyBorder="1"/>
    <xf numFmtId="0" fontId="6" fillId="0" borderId="13" xfId="0" applyFont="1" applyFill="1" applyBorder="1"/>
    <xf numFmtId="14" fontId="6" fillId="0" borderId="57" xfId="0" applyNumberFormat="1" applyFont="1" applyBorder="1"/>
    <xf numFmtId="167" fontId="6" fillId="0" borderId="57" xfId="0" applyNumberFormat="1" applyFont="1" applyBorder="1"/>
    <xf numFmtId="167" fontId="6" fillId="0" borderId="57" xfId="0" applyNumberFormat="1" applyFont="1" applyFill="1" applyBorder="1"/>
    <xf numFmtId="1" fontId="6" fillId="0" borderId="57" xfId="0" applyNumberFormat="1" applyFont="1" applyFill="1" applyBorder="1" applyAlignment="1">
      <alignment horizontal="center" vertical="center"/>
    </xf>
    <xf numFmtId="0" fontId="6" fillId="0" borderId="57" xfId="0" applyFont="1" applyFill="1" applyBorder="1" applyAlignment="1">
      <alignment horizontal="center" vertical="center"/>
    </xf>
    <xf numFmtId="0" fontId="6" fillId="0" borderId="57"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0" borderId="57" xfId="0" applyFont="1" applyBorder="1" applyAlignment="1">
      <alignment horizontal="center" vertical="center"/>
    </xf>
    <xf numFmtId="167" fontId="13" fillId="2" borderId="57" xfId="0" applyNumberFormat="1" applyFont="1" applyFill="1" applyBorder="1" applyAlignment="1">
      <alignment horizontal="center" vertical="center"/>
    </xf>
    <xf numFmtId="0" fontId="13" fillId="2" borderId="57" xfId="0" applyFont="1" applyFill="1" applyBorder="1" applyAlignment="1">
      <alignment horizontal="center" vertical="center"/>
    </xf>
    <xf numFmtId="1" fontId="13" fillId="2" borderId="57" xfId="0" applyNumberFormat="1" applyFont="1" applyFill="1" applyBorder="1" applyAlignment="1">
      <alignment horizontal="center" vertical="center"/>
    </xf>
    <xf numFmtId="167" fontId="6" fillId="2" borderId="57" xfId="0" applyNumberFormat="1" applyFont="1" applyFill="1" applyBorder="1" applyAlignment="1">
      <alignment horizontal="center" vertical="center"/>
    </xf>
    <xf numFmtId="1" fontId="13" fillId="2" borderId="57" xfId="0" applyNumberFormat="1" applyFont="1" applyFill="1" applyBorder="1" applyAlignment="1">
      <alignment horizontal="center" vertical="center" wrapText="1"/>
    </xf>
    <xf numFmtId="0" fontId="6" fillId="9" borderId="56" xfId="0" applyFont="1" applyFill="1" applyBorder="1"/>
    <xf numFmtId="3" fontId="30" fillId="13" borderId="57" xfId="2" applyNumberFormat="1" applyFont="1" applyFill="1" applyBorder="1" applyAlignment="1">
      <alignment horizontal="center" vertical="center" wrapText="1"/>
    </xf>
    <xf numFmtId="37" fontId="30" fillId="4" borderId="57" xfId="2" applyNumberFormat="1" applyFont="1" applyFill="1" applyBorder="1" applyAlignment="1">
      <alignment horizontal="center" vertical="center" wrapText="1"/>
    </xf>
    <xf numFmtId="3" fontId="6" fillId="3" borderId="54" xfId="2" applyNumberFormat="1" applyFont="1" applyFill="1" applyBorder="1" applyAlignment="1">
      <alignment horizontal="center" vertical="center" wrapText="1"/>
    </xf>
    <xf numFmtId="3" fontId="6" fillId="3" borderId="54" xfId="0" applyNumberFormat="1" applyFont="1" applyFill="1" applyBorder="1" applyAlignment="1">
      <alignment horizontal="center" vertical="center" wrapText="1"/>
    </xf>
    <xf numFmtId="37" fontId="6" fillId="2" borderId="57" xfId="2" applyNumberFormat="1" applyFont="1" applyFill="1" applyBorder="1" applyAlignment="1">
      <alignment horizontal="center" vertical="center"/>
    </xf>
    <xf numFmtId="0" fontId="0" fillId="0" borderId="50" xfId="0" applyBorder="1" applyAlignment="1">
      <alignment horizontal="left" wrapText="1"/>
    </xf>
    <xf numFmtId="0" fontId="0" fillId="0" borderId="51" xfId="0" applyBorder="1" applyAlignment="1">
      <alignment horizontal="left" wrapText="1"/>
    </xf>
    <xf numFmtId="0" fontId="0" fillId="0" borderId="43" xfId="0" applyBorder="1" applyAlignment="1">
      <alignment horizontal="left" wrapText="1"/>
    </xf>
    <xf numFmtId="0" fontId="0" fillId="0" borderId="48" xfId="0" applyBorder="1" applyAlignment="1">
      <alignment horizontal="left" wrapText="1"/>
    </xf>
    <xf numFmtId="0" fontId="0" fillId="0" borderId="43" xfId="0" applyBorder="1" applyAlignment="1">
      <alignment horizontal="left"/>
    </xf>
    <xf numFmtId="0" fontId="0" fillId="0" borderId="48" xfId="0" applyBorder="1" applyAlignment="1">
      <alignment horizontal="left"/>
    </xf>
    <xf numFmtId="0" fontId="0" fillId="0" borderId="43" xfId="0" applyBorder="1" applyAlignment="1">
      <alignment horizontal="left" vertical="top" wrapText="1"/>
    </xf>
    <xf numFmtId="0" fontId="0" fillId="0" borderId="48" xfId="0" applyBorder="1" applyAlignment="1">
      <alignment horizontal="left" vertical="top" wrapText="1"/>
    </xf>
    <xf numFmtId="0" fontId="7" fillId="16" borderId="44" xfId="0" applyFont="1" applyFill="1" applyBorder="1" applyAlignment="1">
      <alignment wrapText="1"/>
    </xf>
    <xf numFmtId="0" fontId="7" fillId="16" borderId="45" xfId="0" applyFont="1" applyFill="1" applyBorder="1" applyAlignment="1">
      <alignment wrapText="1"/>
    </xf>
    <xf numFmtId="0" fontId="7" fillId="16" borderId="46" xfId="0" applyFont="1" applyFill="1" applyBorder="1" applyAlignment="1">
      <alignment wrapText="1"/>
    </xf>
    <xf numFmtId="0" fontId="0" fillId="0" borderId="13" xfId="0" applyBorder="1" applyAlignment="1">
      <alignment horizontal="left" wrapText="1"/>
    </xf>
    <xf numFmtId="0" fontId="0" fillId="0" borderId="19" xfId="0" applyBorder="1" applyAlignment="1">
      <alignment horizontal="left" wrapText="1"/>
    </xf>
    <xf numFmtId="0" fontId="7" fillId="16" borderId="40" xfId="0" applyFont="1" applyFill="1" applyBorder="1" applyAlignment="1">
      <alignment wrapText="1"/>
    </xf>
    <xf numFmtId="0" fontId="7" fillId="16" borderId="41" xfId="0" applyFont="1" applyFill="1" applyBorder="1" applyAlignment="1">
      <alignment wrapText="1"/>
    </xf>
    <xf numFmtId="0" fontId="7" fillId="16" borderId="42" xfId="0" applyFont="1" applyFill="1" applyBorder="1" applyAlignment="1">
      <alignment wrapText="1"/>
    </xf>
    <xf numFmtId="0" fontId="0" fillId="0" borderId="0" xfId="0" applyAlignment="1">
      <alignment horizontal="left" wrapText="1"/>
    </xf>
    <xf numFmtId="0" fontId="28" fillId="0" borderId="0" xfId="0" applyFont="1" applyAlignment="1">
      <alignment horizontal="center" wrapText="1"/>
    </xf>
    <xf numFmtId="0" fontId="28" fillId="0" borderId="0" xfId="0" applyFont="1" applyAlignment="1">
      <alignment horizontal="left" wrapText="1"/>
    </xf>
    <xf numFmtId="0" fontId="27" fillId="0" borderId="0" xfId="0" applyFont="1" applyAlignment="1">
      <alignment horizontal="left" wrapText="1"/>
    </xf>
    <xf numFmtId="0" fontId="7" fillId="0" borderId="28" xfId="0" applyFont="1" applyBorder="1" applyAlignment="1">
      <alignment horizontal="center" wrapText="1"/>
    </xf>
    <xf numFmtId="0" fontId="30" fillId="2" borderId="38" xfId="0" applyFont="1" applyFill="1" applyBorder="1" applyAlignment="1" applyProtection="1">
      <alignment horizontal="left" vertical="top"/>
      <protection locked="0"/>
    </xf>
    <xf numFmtId="0" fontId="30" fillId="0" borderId="38" xfId="0" applyFont="1" applyFill="1" applyBorder="1" applyAlignment="1" applyProtection="1">
      <alignment horizontal="left" vertical="top" wrapText="1"/>
    </xf>
    <xf numFmtId="49" fontId="30" fillId="2" borderId="31" xfId="0" applyNumberFormat="1" applyFont="1" applyFill="1" applyBorder="1" applyAlignment="1" applyProtection="1">
      <alignment horizontal="center" vertical="center"/>
      <protection locked="0"/>
    </xf>
    <xf numFmtId="2" fontId="30" fillId="2" borderId="20" xfId="0" applyNumberFormat="1" applyFont="1" applyFill="1" applyBorder="1" applyAlignment="1" applyProtection="1">
      <alignment horizontal="center" vertical="center"/>
      <protection locked="0"/>
    </xf>
    <xf numFmtId="0" fontId="7" fillId="0" borderId="34" xfId="0" applyFont="1" applyBorder="1" applyAlignment="1">
      <alignment horizontal="center"/>
    </xf>
    <xf numFmtId="0" fontId="7" fillId="0" borderId="35" xfId="0" applyFont="1" applyBorder="1" applyAlignment="1">
      <alignment horizontal="center"/>
    </xf>
    <xf numFmtId="0" fontId="30" fillId="0" borderId="31" xfId="0" applyFont="1" applyBorder="1" applyAlignment="1">
      <alignment horizontal="left"/>
    </xf>
    <xf numFmtId="0" fontId="31" fillId="0" borderId="0" xfId="0" applyFont="1" applyFill="1" applyBorder="1" applyAlignment="1" applyProtection="1">
      <alignment horizontal="right" vertical="top"/>
    </xf>
    <xf numFmtId="0" fontId="30" fillId="0" borderId="0" xfId="0" applyFont="1" applyBorder="1" applyAlignment="1">
      <alignment horizontal="right"/>
    </xf>
    <xf numFmtId="0" fontId="29" fillId="0" borderId="20" xfId="0" applyFont="1" applyFill="1" applyBorder="1" applyAlignment="1" applyProtection="1">
      <alignment horizontal="left" vertical="top" wrapText="1"/>
    </xf>
    <xf numFmtId="0" fontId="30" fillId="2" borderId="20" xfId="0" applyFont="1" applyFill="1" applyBorder="1" applyAlignment="1" applyProtection="1">
      <alignment horizontal="left" vertical="top" wrapText="1"/>
      <protection locked="0"/>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31" fillId="0" borderId="0" xfId="0" applyFont="1" applyFill="1" applyBorder="1" applyAlignment="1" applyProtection="1">
      <alignment horizontal="center" vertical="top"/>
    </xf>
    <xf numFmtId="14" fontId="30" fillId="2" borderId="31"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right" vertical="center" wrapText="1"/>
    </xf>
    <xf numFmtId="0" fontId="26" fillId="0" borderId="23"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6" fillId="0" borderId="24" xfId="0" applyFont="1" applyBorder="1" applyAlignment="1" applyProtection="1">
      <alignment horizontal="center" vertical="center" wrapText="1"/>
    </xf>
    <xf numFmtId="0" fontId="27" fillId="0" borderId="25"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7" xfId="0" applyFont="1" applyBorder="1" applyAlignment="1" applyProtection="1">
      <alignment horizontal="center" vertical="center"/>
    </xf>
    <xf numFmtId="2" fontId="30" fillId="2" borderId="39" xfId="0" applyNumberFormat="1" applyFont="1" applyFill="1" applyBorder="1" applyAlignment="1" applyProtection="1">
      <alignment horizontal="center" vertical="center"/>
      <protection locked="0"/>
    </xf>
    <xf numFmtId="0" fontId="30" fillId="3" borderId="12" xfId="0" applyFont="1" applyFill="1" applyBorder="1" applyAlignment="1">
      <alignment horizontal="center" vertical="center" wrapText="1"/>
    </xf>
    <xf numFmtId="0" fontId="30" fillId="3" borderId="13" xfId="0" applyFont="1" applyFill="1" applyBorder="1" applyAlignment="1">
      <alignment horizontal="center" vertical="center" wrapText="1"/>
    </xf>
    <xf numFmtId="164" fontId="30" fillId="4" borderId="39" xfId="0" applyNumberFormat="1" applyFont="1" applyFill="1" applyBorder="1" applyAlignment="1" applyProtection="1">
      <alignment horizontal="center" vertical="center"/>
      <protection locked="0"/>
    </xf>
    <xf numFmtId="0" fontId="29" fillId="0" borderId="10" xfId="0" applyFont="1" applyFill="1" applyBorder="1" applyAlignment="1" applyProtection="1">
      <alignment horizontal="right" vertical="center" wrapText="1"/>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30" fillId="0" borderId="13" xfId="0" applyFont="1" applyBorder="1" applyAlignment="1">
      <alignment horizontal="left"/>
    </xf>
    <xf numFmtId="0" fontId="30" fillId="0" borderId="38" xfId="0" applyFont="1" applyBorder="1" applyAlignment="1">
      <alignment horizontal="left"/>
    </xf>
    <xf numFmtId="0" fontId="30" fillId="0" borderId="20" xfId="0" applyFont="1" applyFill="1" applyBorder="1" applyAlignment="1" applyProtection="1">
      <alignment horizontal="left" vertical="top" wrapText="1"/>
    </xf>
    <xf numFmtId="0" fontId="7" fillId="0" borderId="20" xfId="0" applyFont="1" applyFill="1" applyBorder="1" applyAlignment="1">
      <alignment horizontal="left" vertical="center" wrapText="1"/>
    </xf>
    <xf numFmtId="0" fontId="30" fillId="2" borderId="20" xfId="0" applyFont="1" applyFill="1" applyBorder="1" applyAlignment="1">
      <alignment horizontal="left" vertical="center" wrapText="1"/>
    </xf>
    <xf numFmtId="0" fontId="7" fillId="3" borderId="31" xfId="0" applyFont="1" applyFill="1" applyBorder="1" applyAlignment="1">
      <alignment horizontal="left" vertical="center"/>
    </xf>
    <xf numFmtId="0" fontId="24" fillId="0" borderId="31" xfId="0" applyFont="1" applyFill="1" applyBorder="1" applyAlignment="1" applyProtection="1">
      <alignment horizontal="center" vertical="center" wrapText="1"/>
    </xf>
    <xf numFmtId="0" fontId="7" fillId="7"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24" fillId="0" borderId="31" xfId="0" applyFont="1" applyFill="1" applyBorder="1" applyAlignment="1" applyProtection="1">
      <alignment horizontal="left" vertical="center" wrapText="1"/>
    </xf>
    <xf numFmtId="0" fontId="33" fillId="0" borderId="31" xfId="0" applyFont="1" applyFill="1" applyBorder="1" applyAlignment="1">
      <alignment horizontal="left" vertical="center" wrapText="1"/>
    </xf>
    <xf numFmtId="0" fontId="36" fillId="0" borderId="31" xfId="0" applyFont="1" applyFill="1" applyBorder="1" applyAlignment="1" applyProtection="1">
      <alignment horizontal="left" vertical="center" wrapText="1"/>
    </xf>
    <xf numFmtId="0" fontId="33" fillId="0" borderId="31" xfId="0" applyFont="1" applyFill="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30" fillId="2" borderId="7" xfId="0" applyFont="1" applyFill="1" applyBorder="1" applyAlignment="1">
      <alignment horizontal="left" vertical="center" wrapText="1"/>
    </xf>
    <xf numFmtId="0" fontId="30" fillId="2" borderId="21" xfId="0" applyFont="1" applyFill="1" applyBorder="1" applyAlignment="1">
      <alignment horizontal="left" vertical="center" wrapText="1"/>
    </xf>
    <xf numFmtId="0" fontId="30" fillId="0" borderId="12"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3" fillId="0" borderId="32" xfId="0" applyFont="1" applyFill="1" applyBorder="1" applyAlignment="1" applyProtection="1">
      <alignment horizontal="center" vertical="center" wrapText="1"/>
    </xf>
    <xf numFmtId="0" fontId="33" fillId="0" borderId="30" xfId="0" applyFont="1" applyFill="1" applyBorder="1" applyAlignment="1" applyProtection="1">
      <alignment horizontal="center" vertical="center" wrapText="1"/>
    </xf>
    <xf numFmtId="0" fontId="30" fillId="2" borderId="32"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7" fillId="0" borderId="57" xfId="0" applyFont="1" applyFill="1" applyBorder="1" applyAlignment="1">
      <alignment horizontal="left" vertical="center" wrapText="1"/>
    </xf>
    <xf numFmtId="0" fontId="30" fillId="2" borderId="31" xfId="0" applyFont="1" applyFill="1" applyBorder="1" applyAlignment="1">
      <alignment horizontal="left" vertical="center" wrapText="1"/>
    </xf>
    <xf numFmtId="0" fontId="30" fillId="0" borderId="72"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3" borderId="61" xfId="0" applyFont="1" applyFill="1" applyBorder="1" applyAlignment="1">
      <alignment horizontal="center" vertical="center" textRotation="90" wrapText="1"/>
    </xf>
    <xf numFmtId="0" fontId="30" fillId="3" borderId="13" xfId="0" applyFont="1" applyFill="1" applyBorder="1" applyAlignment="1">
      <alignment horizontal="center" vertical="center" textRotation="90" wrapText="1"/>
    </xf>
    <xf numFmtId="0" fontId="30" fillId="13" borderId="61" xfId="0" applyFont="1" applyFill="1" applyBorder="1" applyAlignment="1">
      <alignment horizontal="center" vertical="center" textRotation="90" wrapText="1"/>
    </xf>
    <xf numFmtId="0" fontId="30" fillId="13" borderId="13" xfId="0" applyFont="1" applyFill="1" applyBorder="1" applyAlignment="1">
      <alignment horizontal="center" vertical="center" textRotation="90" wrapText="1"/>
    </xf>
    <xf numFmtId="0" fontId="30" fillId="0" borderId="61" xfId="0" applyFont="1" applyFill="1" applyBorder="1" applyAlignment="1">
      <alignment horizontal="center" vertical="center" wrapText="1"/>
    </xf>
    <xf numFmtId="0" fontId="13" fillId="2" borderId="57" xfId="0" applyFont="1" applyFill="1" applyBorder="1" applyAlignment="1">
      <alignment horizontal="left"/>
    </xf>
    <xf numFmtId="0" fontId="33" fillId="0" borderId="4" xfId="0" applyFont="1" applyFill="1" applyBorder="1" applyAlignment="1">
      <alignment horizontal="center" vertical="center" wrapText="1"/>
    </xf>
    <xf numFmtId="0" fontId="30" fillId="3" borderId="62" xfId="0" applyFont="1" applyFill="1" applyBorder="1" applyAlignment="1">
      <alignment horizontal="center" vertical="center"/>
    </xf>
    <xf numFmtId="0" fontId="30" fillId="3" borderId="16" xfId="0" applyFont="1" applyFill="1" applyBorder="1" applyAlignment="1">
      <alignment horizontal="center" vertical="center"/>
    </xf>
    <xf numFmtId="0" fontId="30" fillId="3" borderId="63" xfId="0" applyFont="1" applyFill="1" applyBorder="1" applyAlignment="1">
      <alignment horizontal="center" vertical="center"/>
    </xf>
    <xf numFmtId="0" fontId="33" fillId="13" borderId="62" xfId="0" applyFont="1" applyFill="1" applyBorder="1" applyAlignment="1">
      <alignment horizontal="center" vertical="center" wrapText="1"/>
    </xf>
    <xf numFmtId="0" fontId="33" fillId="13" borderId="16" xfId="0" applyFont="1" applyFill="1" applyBorder="1" applyAlignment="1">
      <alignment horizontal="center" vertical="center" wrapText="1"/>
    </xf>
    <xf numFmtId="0" fontId="33" fillId="13" borderId="63" xfId="0" applyFont="1" applyFill="1" applyBorder="1" applyAlignment="1">
      <alignment horizontal="center" vertical="center" wrapText="1"/>
    </xf>
    <xf numFmtId="0" fontId="33" fillId="3" borderId="62" xfId="0" applyFont="1" applyFill="1" applyBorder="1" applyAlignment="1">
      <alignment horizontal="center" vertical="center" wrapText="1"/>
    </xf>
    <xf numFmtId="0" fontId="33" fillId="3" borderId="16" xfId="0" applyFont="1" applyFill="1" applyBorder="1" applyAlignment="1">
      <alignment horizontal="center" vertical="center" wrapText="1"/>
    </xf>
    <xf numFmtId="0" fontId="33" fillId="3" borderId="63" xfId="0" applyFont="1" applyFill="1" applyBorder="1" applyAlignment="1">
      <alignment horizontal="center" vertical="center" wrapText="1"/>
    </xf>
    <xf numFmtId="0" fontId="38" fillId="0" borderId="57" xfId="0" applyFont="1" applyFill="1" applyBorder="1" applyAlignment="1" applyProtection="1">
      <alignment horizontal="left" vertical="center" wrapText="1"/>
    </xf>
    <xf numFmtId="0" fontId="38" fillId="17" borderId="0" xfId="0" applyFont="1" applyFill="1" applyBorder="1" applyAlignment="1" applyProtection="1">
      <alignment horizontal="center" vertical="center" wrapText="1"/>
    </xf>
    <xf numFmtId="0" fontId="30" fillId="19" borderId="0" xfId="0" applyFont="1" applyFill="1" applyAlignment="1">
      <alignment horizontal="center" wrapText="1"/>
    </xf>
    <xf numFmtId="0" fontId="24" fillId="0" borderId="54" xfId="0" applyFont="1" applyFill="1" applyBorder="1" applyAlignment="1" applyProtection="1">
      <alignment horizontal="center" vertical="center" wrapText="1"/>
    </xf>
    <xf numFmtId="0" fontId="24" fillId="0" borderId="55" xfId="0" applyFont="1" applyFill="1" applyBorder="1" applyAlignment="1" applyProtection="1">
      <alignment horizontal="center" vertical="center" wrapText="1"/>
    </xf>
    <xf numFmtId="0" fontId="24" fillId="0" borderId="56" xfId="0" applyFont="1" applyFill="1" applyBorder="1" applyAlignment="1" applyProtection="1">
      <alignment horizontal="center" vertical="center" wrapText="1"/>
    </xf>
    <xf numFmtId="0" fontId="33" fillId="13" borderId="66" xfId="0" applyFont="1" applyFill="1" applyBorder="1" applyAlignment="1">
      <alignment horizontal="center" vertical="center" wrapText="1"/>
    </xf>
    <xf numFmtId="0" fontId="33" fillId="13" borderId="67" xfId="0" applyFont="1" applyFill="1" applyBorder="1" applyAlignment="1">
      <alignment horizontal="center" vertical="center" wrapText="1"/>
    </xf>
    <xf numFmtId="0" fontId="33" fillId="13" borderId="68" xfId="0" applyFont="1" applyFill="1" applyBorder="1" applyAlignment="1">
      <alignment horizontal="center" vertical="center" wrapText="1"/>
    </xf>
    <xf numFmtId="0" fontId="24" fillId="0" borderId="69" xfId="0" applyFont="1" applyFill="1" applyBorder="1" applyAlignment="1">
      <alignment horizontal="center" vertical="center" wrapText="1"/>
    </xf>
    <xf numFmtId="0" fontId="24" fillId="0" borderId="70"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7" fillId="3" borderId="32" xfId="0" applyFont="1" applyFill="1" applyBorder="1" applyAlignment="1">
      <alignment horizontal="left" vertical="center"/>
    </xf>
    <xf numFmtId="0" fontId="7" fillId="3" borderId="33" xfId="0" applyFont="1" applyFill="1" applyBorder="1" applyAlignment="1">
      <alignment horizontal="left" vertical="center"/>
    </xf>
    <xf numFmtId="0" fontId="7" fillId="3" borderId="30" xfId="0" applyFont="1" applyFill="1" applyBorder="1" applyAlignment="1">
      <alignment horizontal="left" vertical="center"/>
    </xf>
    <xf numFmtId="0" fontId="36" fillId="0" borderId="1" xfId="0" applyFont="1" applyFill="1" applyBorder="1" applyAlignment="1" applyProtection="1">
      <alignment horizontal="left" vertical="center" wrapText="1"/>
    </xf>
    <xf numFmtId="0" fontId="36" fillId="0" borderId="2" xfId="0" applyFont="1" applyFill="1" applyBorder="1" applyAlignment="1" applyProtection="1">
      <alignment horizontal="left" vertical="center" wrapText="1"/>
    </xf>
    <xf numFmtId="0" fontId="36" fillId="0" borderId="11" xfId="0" applyFont="1" applyFill="1" applyBorder="1" applyAlignment="1" applyProtection="1">
      <alignment horizontal="left" vertical="center" wrapText="1"/>
    </xf>
    <xf numFmtId="0" fontId="32" fillId="0" borderId="5" xfId="0" applyFont="1" applyFill="1" applyBorder="1" applyAlignment="1" applyProtection="1">
      <alignment horizontal="left" vertical="center" wrapText="1"/>
    </xf>
    <xf numFmtId="0" fontId="32" fillId="0" borderId="7" xfId="0" applyFont="1" applyFill="1" applyBorder="1" applyAlignment="1" applyProtection="1">
      <alignment horizontal="left" vertical="center" wrapText="1"/>
    </xf>
    <xf numFmtId="0" fontId="32" fillId="0" borderId="6" xfId="0" applyFont="1" applyFill="1" applyBorder="1" applyAlignment="1" applyProtection="1">
      <alignment horizontal="left" vertical="center" wrapText="1"/>
    </xf>
    <xf numFmtId="0" fontId="7" fillId="0" borderId="20" xfId="0" applyFont="1" applyFill="1" applyBorder="1" applyAlignment="1">
      <alignment vertical="center" wrapText="1"/>
    </xf>
    <xf numFmtId="0" fontId="29" fillId="8" borderId="20" xfId="0" applyFont="1" applyFill="1" applyBorder="1" applyAlignment="1" applyProtection="1">
      <alignment horizontal="left" vertical="center" wrapText="1"/>
    </xf>
    <xf numFmtId="0" fontId="32" fillId="0" borderId="31" xfId="0" applyFont="1" applyFill="1" applyBorder="1" applyAlignment="1" applyProtection="1">
      <alignment horizontal="right" vertical="center" wrapText="1"/>
    </xf>
    <xf numFmtId="0" fontId="33" fillId="3" borderId="31" xfId="0" applyFont="1" applyFill="1" applyBorder="1" applyAlignment="1">
      <alignment horizontal="right"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29" fillId="0" borderId="15" xfId="0" applyFont="1" applyFill="1" applyBorder="1" applyAlignment="1" applyProtection="1">
      <alignment horizontal="left" vertical="center" wrapText="1"/>
    </xf>
    <xf numFmtId="0" fontId="29" fillId="0" borderId="16" xfId="0" applyFont="1" applyFill="1" applyBorder="1" applyAlignment="1" applyProtection="1">
      <alignment horizontal="left" vertical="center" wrapText="1"/>
    </xf>
    <xf numFmtId="0" fontId="29" fillId="0" borderId="17" xfId="0" applyFont="1" applyFill="1" applyBorder="1" applyAlignment="1" applyProtection="1">
      <alignment horizontal="left" vertical="center" wrapText="1"/>
    </xf>
    <xf numFmtId="0" fontId="30" fillId="3" borderId="54" xfId="0" applyFont="1" applyFill="1" applyBorder="1" applyAlignment="1">
      <alignment horizontal="center" vertical="center" wrapText="1"/>
    </xf>
    <xf numFmtId="0" fontId="30" fillId="3" borderId="55" xfId="0" applyFont="1" applyFill="1" applyBorder="1" applyAlignment="1">
      <alignment horizontal="center" vertical="center" wrapText="1"/>
    </xf>
    <xf numFmtId="0" fontId="30" fillId="3" borderId="56" xfId="0" applyFont="1" applyFill="1" applyBorder="1" applyAlignment="1">
      <alignment horizontal="center" vertical="center" wrapText="1"/>
    </xf>
    <xf numFmtId="0" fontId="7" fillId="0" borderId="4" xfId="0" applyFont="1" applyBorder="1" applyAlignment="1">
      <alignment horizontal="left" vertical="center" wrapText="1"/>
    </xf>
    <xf numFmtId="0" fontId="30" fillId="0" borderId="54" xfId="0" applyFont="1" applyBorder="1" applyAlignment="1">
      <alignment horizontal="center" wrapText="1"/>
    </xf>
    <xf numFmtId="0" fontId="30" fillId="0" borderId="41" xfId="0" applyFont="1" applyBorder="1" applyAlignment="1">
      <alignment horizontal="center" wrapText="1"/>
    </xf>
    <xf numFmtId="0" fontId="30" fillId="0" borderId="42" xfId="0" applyFont="1" applyBorder="1" applyAlignment="1">
      <alignment horizontal="center" wrapText="1"/>
    </xf>
    <xf numFmtId="0" fontId="29" fillId="8" borderId="40" xfId="0" applyFont="1" applyFill="1" applyBorder="1" applyAlignment="1" applyProtection="1">
      <alignment horizontal="left" vertical="center" wrapText="1"/>
    </xf>
    <xf numFmtId="0" fontId="29" fillId="8" borderId="41" xfId="0" applyFont="1" applyFill="1" applyBorder="1" applyAlignment="1" applyProtection="1">
      <alignment horizontal="left" vertical="center" wrapText="1"/>
    </xf>
    <xf numFmtId="0" fontId="29" fillId="8" borderId="42" xfId="0" applyFont="1" applyFill="1" applyBorder="1" applyAlignment="1" applyProtection="1">
      <alignment horizontal="left" vertical="center" wrapText="1"/>
    </xf>
    <xf numFmtId="0" fontId="7" fillId="2" borderId="20" xfId="0" applyFont="1" applyFill="1" applyBorder="1" applyAlignment="1">
      <alignment horizontal="left" vertical="center" wrapText="1"/>
    </xf>
    <xf numFmtId="0" fontId="32" fillId="0" borderId="3" xfId="0" applyFont="1" applyFill="1" applyBorder="1" applyAlignment="1" applyProtection="1">
      <alignment horizontal="left" vertical="center" wrapText="1"/>
    </xf>
    <xf numFmtId="0" fontId="32" fillId="0" borderId="4" xfId="0" applyFont="1" applyFill="1" applyBorder="1" applyAlignment="1" applyProtection="1">
      <alignment horizontal="left" vertical="center" wrapText="1"/>
    </xf>
    <xf numFmtId="0" fontId="32" fillId="0" borderId="14" xfId="0" applyFont="1" applyFill="1" applyBorder="1" applyAlignment="1" applyProtection="1">
      <alignment horizontal="left" vertical="center" wrapText="1"/>
    </xf>
    <xf numFmtId="0" fontId="36" fillId="0" borderId="15" xfId="0" applyFont="1" applyFill="1" applyBorder="1" applyAlignment="1" applyProtection="1">
      <alignment horizontal="left" vertical="center" wrapText="1"/>
    </xf>
    <xf numFmtId="0" fontId="36" fillId="0" borderId="16" xfId="0" applyFont="1" applyFill="1" applyBorder="1" applyAlignment="1" applyProtection="1">
      <alignment horizontal="left" vertical="center" wrapText="1"/>
    </xf>
    <xf numFmtId="0" fontId="36" fillId="0" borderId="17" xfId="0" applyFont="1" applyFill="1" applyBorder="1" applyAlignment="1" applyProtection="1">
      <alignment horizontal="left" vertical="center" wrapText="1"/>
    </xf>
    <xf numFmtId="0" fontId="36" fillId="0" borderId="15" xfId="0" applyNumberFormat="1" applyFont="1" applyFill="1" applyBorder="1" applyAlignment="1" applyProtection="1">
      <alignment horizontal="left" vertical="center" wrapText="1"/>
    </xf>
    <xf numFmtId="0" fontId="29" fillId="0" borderId="16" xfId="0" applyNumberFormat="1" applyFont="1" applyFill="1" applyBorder="1" applyAlignment="1" applyProtection="1">
      <alignment horizontal="left" vertical="center" wrapText="1"/>
    </xf>
    <xf numFmtId="0" fontId="29" fillId="0" borderId="17" xfId="0" applyNumberFormat="1" applyFont="1" applyFill="1" applyBorder="1" applyAlignment="1" applyProtection="1">
      <alignment horizontal="left" vertical="center" wrapText="1"/>
    </xf>
    <xf numFmtId="0" fontId="24" fillId="0" borderId="15" xfId="0" applyFont="1" applyFill="1" applyBorder="1" applyAlignment="1" applyProtection="1">
      <alignment horizontal="left" vertical="center" wrapText="1"/>
    </xf>
    <xf numFmtId="0" fontId="24" fillId="0" borderId="16" xfId="0" applyFont="1" applyFill="1" applyBorder="1" applyAlignment="1" applyProtection="1">
      <alignment horizontal="left" vertical="center" wrapText="1"/>
    </xf>
    <xf numFmtId="0" fontId="24" fillId="0" borderId="17" xfId="0" applyFont="1" applyFill="1" applyBorder="1" applyAlignment="1" applyProtection="1">
      <alignment horizontal="left" vertical="center" wrapText="1"/>
    </xf>
    <xf numFmtId="0" fontId="30" fillId="0" borderId="0" xfId="0" applyFont="1" applyFill="1" applyBorder="1" applyAlignment="1">
      <alignment vertical="center" wrapText="1"/>
    </xf>
    <xf numFmtId="0" fontId="7" fillId="3" borderId="5" xfId="0" applyFont="1" applyFill="1" applyBorder="1" applyAlignment="1">
      <alignment horizontal="left" vertical="center"/>
    </xf>
    <xf numFmtId="0" fontId="7" fillId="3" borderId="7" xfId="0" applyFont="1" applyFill="1" applyBorder="1" applyAlignment="1">
      <alignment horizontal="left" vertical="center"/>
    </xf>
    <xf numFmtId="0" fontId="7" fillId="3" borderId="6"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wrapText="1"/>
    </xf>
    <xf numFmtId="0" fontId="7" fillId="0" borderId="38" xfId="0" applyFont="1" applyBorder="1" applyAlignment="1">
      <alignment horizontal="left" vertical="center" wrapText="1"/>
    </xf>
    <xf numFmtId="0" fontId="30" fillId="0" borderId="0" xfId="0" applyFont="1" applyFill="1" applyAlignment="1">
      <alignment horizontal="center" vertical="center" wrapText="1"/>
    </xf>
    <xf numFmtId="0" fontId="29" fillId="0" borderId="1" xfId="0" applyFont="1" applyFill="1" applyBorder="1" applyAlignment="1" applyProtection="1">
      <alignment horizontal="left" vertical="center" wrapText="1"/>
    </xf>
    <xf numFmtId="0" fontId="29" fillId="0" borderId="2" xfId="0" applyFont="1" applyFill="1" applyBorder="1" applyAlignment="1" applyProtection="1">
      <alignment horizontal="left" vertical="center" wrapText="1"/>
    </xf>
    <xf numFmtId="0" fontId="29" fillId="0" borderId="11" xfId="0" applyFont="1" applyFill="1" applyBorder="1" applyAlignment="1" applyProtection="1">
      <alignment horizontal="left" vertical="center" wrapText="1"/>
    </xf>
    <xf numFmtId="0" fontId="30" fillId="0" borderId="38" xfId="0" applyFont="1" applyBorder="1" applyAlignment="1">
      <alignment horizontal="center" vertical="center" wrapText="1"/>
    </xf>
    <xf numFmtId="0" fontId="30" fillId="0" borderId="20" xfId="0" applyFont="1" applyBorder="1" applyAlignment="1">
      <alignment horizontal="center" wrapText="1"/>
    </xf>
    <xf numFmtId="0" fontId="31" fillId="0" borderId="9" xfId="0" applyFont="1" applyBorder="1" applyAlignment="1">
      <alignment vertical="top" wrapText="1"/>
    </xf>
    <xf numFmtId="0" fontId="30" fillId="0" borderId="8" xfId="0" applyFont="1" applyFill="1" applyBorder="1" applyAlignment="1" applyProtection="1">
      <alignment horizontal="left" vertical="center" wrapText="1"/>
    </xf>
    <xf numFmtId="0" fontId="7" fillId="0" borderId="0" xfId="0" applyFont="1" applyAlignment="1">
      <alignment wrapText="1"/>
    </xf>
    <xf numFmtId="0" fontId="30" fillId="0" borderId="8" xfId="0" applyFont="1" applyBorder="1" applyAlignment="1">
      <alignment horizontal="center" vertical="center" wrapText="1"/>
    </xf>
    <xf numFmtId="0" fontId="7" fillId="0" borderId="4" xfId="0" applyFont="1" applyBorder="1" applyAlignment="1">
      <alignment horizontal="left" wrapText="1"/>
    </xf>
    <xf numFmtId="0" fontId="7" fillId="0" borderId="4" xfId="0" applyFont="1" applyBorder="1" applyAlignment="1">
      <alignment wrapText="1"/>
    </xf>
    <xf numFmtId="0" fontId="30" fillId="4" borderId="54" xfId="0" applyFont="1" applyFill="1" applyBorder="1" applyAlignment="1">
      <alignment vertical="center" wrapText="1"/>
    </xf>
    <xf numFmtId="0" fontId="30" fillId="4" borderId="55" xfId="0" applyFont="1" applyFill="1" applyBorder="1" applyAlignment="1">
      <alignment vertical="center" wrapText="1"/>
    </xf>
    <xf numFmtId="0" fontId="30" fillId="4" borderId="56" xfId="0" applyFont="1" applyFill="1" applyBorder="1" applyAlignment="1">
      <alignment vertical="center" wrapText="1"/>
    </xf>
    <xf numFmtId="3" fontId="0" fillId="0" borderId="9" xfId="0" applyNumberFormat="1" applyBorder="1" applyAlignment="1">
      <alignment vertical="center" wrapText="1"/>
    </xf>
    <xf numFmtId="3" fontId="0" fillId="0" borderId="0" xfId="0" applyNumberFormat="1" applyBorder="1" applyAlignment="1">
      <alignment vertical="center" wrapText="1"/>
    </xf>
    <xf numFmtId="164" fontId="30" fillId="3" borderId="57" xfId="0" applyNumberFormat="1" applyFont="1" applyFill="1" applyBorder="1" applyAlignment="1" applyProtection="1">
      <alignment horizontal="center" vertical="center" wrapText="1"/>
    </xf>
    <xf numFmtId="9" fontId="7" fillId="3" borderId="57" xfId="3" applyFont="1" applyFill="1" applyBorder="1" applyAlignment="1">
      <alignment horizontal="center" vertical="center" wrapText="1"/>
    </xf>
    <xf numFmtId="0" fontId="30" fillId="3" borderId="54" xfId="0" applyFont="1" applyFill="1" applyBorder="1" applyAlignment="1" applyProtection="1">
      <alignment horizontal="center" vertical="center" wrapText="1"/>
    </xf>
    <xf numFmtId="0" fontId="30" fillId="3" borderId="56" xfId="0" applyFont="1" applyFill="1" applyBorder="1" applyAlignment="1" applyProtection="1">
      <alignment horizontal="center" vertical="center" wrapText="1"/>
    </xf>
    <xf numFmtId="0" fontId="30" fillId="3" borderId="55" xfId="0" applyFont="1" applyFill="1" applyBorder="1" applyAlignment="1" applyProtection="1">
      <alignment horizontal="center" vertical="center" wrapText="1"/>
    </xf>
    <xf numFmtId="0" fontId="30" fillId="3" borderId="57" xfId="0" applyFont="1" applyFill="1" applyBorder="1" applyAlignment="1" applyProtection="1">
      <alignment horizontal="center" vertical="center" wrapText="1"/>
    </xf>
    <xf numFmtId="0" fontId="29" fillId="8" borderId="57" xfId="0" applyFont="1" applyFill="1" applyBorder="1" applyAlignment="1" applyProtection="1">
      <alignment horizontal="left" vertical="center" wrapText="1"/>
    </xf>
    <xf numFmtId="0" fontId="33" fillId="3" borderId="54" xfId="0" applyFont="1" applyFill="1" applyBorder="1" applyAlignment="1" applyProtection="1">
      <alignment horizontal="center" vertical="center" wrapText="1"/>
    </xf>
    <xf numFmtId="0" fontId="33" fillId="3" borderId="55" xfId="0" applyFont="1" applyFill="1" applyBorder="1" applyAlignment="1" applyProtection="1">
      <alignment horizontal="center" vertical="center" wrapText="1"/>
    </xf>
    <xf numFmtId="0" fontId="33" fillId="3" borderId="56" xfId="0" applyFont="1" applyFill="1" applyBorder="1" applyAlignment="1" applyProtection="1">
      <alignment horizontal="center" vertical="center" wrapText="1"/>
    </xf>
    <xf numFmtId="0" fontId="30" fillId="13" borderId="54" xfId="0" applyFont="1" applyFill="1" applyBorder="1" applyAlignment="1">
      <alignment horizontal="center"/>
    </xf>
    <xf numFmtId="0" fontId="30" fillId="13" borderId="55" xfId="0" applyFont="1" applyFill="1" applyBorder="1" applyAlignment="1">
      <alignment horizontal="center"/>
    </xf>
    <xf numFmtId="0" fontId="30" fillId="13" borderId="56" xfId="0" applyFont="1" applyFill="1" applyBorder="1" applyAlignment="1">
      <alignment horizontal="center"/>
    </xf>
    <xf numFmtId="0" fontId="33" fillId="3" borderId="54" xfId="0" applyFont="1" applyFill="1" applyBorder="1" applyAlignment="1">
      <alignment horizontal="center" vertical="center" wrapText="1"/>
    </xf>
    <xf numFmtId="0" fontId="33" fillId="3" borderId="55" xfId="0" applyFont="1" applyFill="1" applyBorder="1" applyAlignment="1">
      <alignment horizontal="center" vertical="center" wrapText="1"/>
    </xf>
    <xf numFmtId="0" fontId="33" fillId="3" borderId="56" xfId="0" applyFont="1" applyFill="1" applyBorder="1" applyAlignment="1">
      <alignment horizontal="center" vertical="center" wrapText="1"/>
    </xf>
    <xf numFmtId="0" fontId="33" fillId="13" borderId="54" xfId="0" applyFont="1" applyFill="1" applyBorder="1" applyAlignment="1">
      <alignment horizontal="center" vertical="center" wrapText="1"/>
    </xf>
    <xf numFmtId="0" fontId="33" fillId="13" borderId="55" xfId="0" applyFont="1" applyFill="1" applyBorder="1" applyAlignment="1">
      <alignment horizontal="center" vertical="center" wrapText="1"/>
    </xf>
    <xf numFmtId="0" fontId="33" fillId="13" borderId="56" xfId="0" applyFont="1" applyFill="1" applyBorder="1" applyAlignment="1">
      <alignment horizontal="center" vertical="center" wrapText="1"/>
    </xf>
    <xf numFmtId="0" fontId="0" fillId="0" borderId="54" xfId="0" applyFont="1" applyBorder="1" applyAlignment="1">
      <alignment horizontal="left" vertical="top"/>
    </xf>
    <xf numFmtId="0" fontId="0" fillId="0" borderId="55" xfId="0" applyFont="1" applyBorder="1" applyAlignment="1">
      <alignment horizontal="left" vertical="top"/>
    </xf>
    <xf numFmtId="0" fontId="0" fillId="0" borderId="56" xfId="0" applyFont="1" applyBorder="1" applyAlignment="1">
      <alignment horizontal="left" vertical="top"/>
    </xf>
    <xf numFmtId="0" fontId="7" fillId="4" borderId="54" xfId="0" applyFont="1" applyFill="1" applyBorder="1" applyAlignment="1">
      <alignment horizontal="center"/>
    </xf>
    <xf numFmtId="0" fontId="7" fillId="4" borderId="56" xfId="0" applyFont="1" applyFill="1" applyBorder="1" applyAlignment="1">
      <alignment horizontal="center"/>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14" borderId="54" xfId="0" applyFont="1" applyFill="1" applyBorder="1" applyAlignment="1">
      <alignment horizontal="left" vertical="center"/>
    </xf>
    <xf numFmtId="0" fontId="7" fillId="14" borderId="55" xfId="0" applyFont="1" applyFill="1" applyBorder="1" applyAlignment="1">
      <alignment horizontal="left" vertical="center"/>
    </xf>
    <xf numFmtId="0" fontId="7" fillId="14" borderId="56" xfId="0" applyFont="1" applyFill="1" applyBorder="1" applyAlignment="1">
      <alignment horizontal="left" vertical="center"/>
    </xf>
    <xf numFmtId="0" fontId="0" fillId="0" borderId="0" xfId="0" applyBorder="1" applyAlignment="1">
      <alignment horizontal="center" wrapText="1"/>
    </xf>
    <xf numFmtId="164" fontId="28" fillId="7" borderId="57" xfId="0" applyNumberFormat="1" applyFont="1" applyFill="1" applyBorder="1" applyAlignment="1" applyProtection="1">
      <alignment horizontal="center" vertical="center" wrapText="1"/>
    </xf>
    <xf numFmtId="2" fontId="28" fillId="7" borderId="57" xfId="0" applyNumberFormat="1" applyFont="1" applyFill="1" applyBorder="1" applyAlignment="1" applyProtection="1">
      <alignment horizontal="center" vertical="center" wrapText="1"/>
    </xf>
    <xf numFmtId="0" fontId="30" fillId="12" borderId="57" xfId="0" applyFont="1" applyFill="1" applyBorder="1" applyAlignment="1">
      <alignment horizontal="center" vertical="center" wrapText="1"/>
    </xf>
    <xf numFmtId="0" fontId="29" fillId="8" borderId="54" xfId="0" applyFont="1" applyFill="1" applyBorder="1" applyAlignment="1" applyProtection="1">
      <alignment horizontal="left" vertical="center" wrapText="1"/>
    </xf>
    <xf numFmtId="0" fontId="29" fillId="8" borderId="55" xfId="0" applyFont="1" applyFill="1" applyBorder="1" applyAlignment="1" applyProtection="1">
      <alignment horizontal="left" vertical="center" wrapText="1"/>
    </xf>
    <xf numFmtId="0" fontId="29" fillId="8" borderId="4" xfId="0" applyFont="1" applyFill="1" applyBorder="1" applyAlignment="1" applyProtection="1">
      <alignment horizontal="left" vertical="center" wrapText="1"/>
    </xf>
    <xf numFmtId="0" fontId="28" fillId="7" borderId="57" xfId="0" applyFont="1" applyFill="1" applyBorder="1" applyAlignment="1" applyProtection="1">
      <alignment horizontal="center" vertical="center" wrapText="1"/>
    </xf>
    <xf numFmtId="0" fontId="28" fillId="7" borderId="54" xfId="0" applyFont="1" applyFill="1" applyBorder="1" applyAlignment="1" applyProtection="1">
      <alignment horizontal="center" vertical="center" wrapText="1"/>
    </xf>
    <xf numFmtId="0" fontId="28" fillId="7" borderId="56" xfId="0" applyFont="1" applyFill="1" applyBorder="1" applyAlignment="1" applyProtection="1">
      <alignment horizontal="center" vertical="center" wrapText="1"/>
    </xf>
    <xf numFmtId="0" fontId="28" fillId="7" borderId="55" xfId="0" applyFont="1" applyFill="1" applyBorder="1" applyAlignment="1" applyProtection="1">
      <alignment horizontal="center" vertical="center" wrapText="1"/>
    </xf>
    <xf numFmtId="0" fontId="24" fillId="11" borderId="57" xfId="0" applyFont="1" applyFill="1" applyBorder="1" applyAlignment="1">
      <alignment horizontal="center" vertical="center" wrapText="1"/>
    </xf>
    <xf numFmtId="0" fontId="0" fillId="0" borderId="57" xfId="0" applyFont="1" applyBorder="1" applyAlignment="1">
      <alignment horizontal="left" vertical="top" wrapText="1"/>
    </xf>
    <xf numFmtId="0" fontId="31" fillId="0" borderId="9" xfId="0" applyFont="1" applyBorder="1" applyAlignment="1">
      <alignment horizontal="left" vertical="top" wrapText="1"/>
    </xf>
    <xf numFmtId="0" fontId="31" fillId="0" borderId="0" xfId="0" applyFont="1" applyBorder="1" applyAlignment="1">
      <alignment horizontal="left" vertical="top" wrapText="1"/>
    </xf>
    <xf numFmtId="0" fontId="30" fillId="4" borderId="54" xfId="0" applyFont="1" applyFill="1" applyBorder="1" applyAlignment="1">
      <alignment horizontal="center"/>
    </xf>
    <xf numFmtId="0" fontId="30" fillId="4" borderId="55" xfId="0" applyFont="1" applyFill="1" applyBorder="1" applyAlignment="1">
      <alignment horizontal="center"/>
    </xf>
    <xf numFmtId="0" fontId="30" fillId="4" borderId="56" xfId="0" applyFont="1" applyFill="1" applyBorder="1" applyAlignment="1">
      <alignment horizontal="center"/>
    </xf>
    <xf numFmtId="0" fontId="30" fillId="13" borderId="57" xfId="0" applyFont="1" applyFill="1" applyBorder="1" applyAlignment="1">
      <alignment horizontal="center" vertical="center" wrapText="1"/>
    </xf>
    <xf numFmtId="0" fontId="30" fillId="3" borderId="61" xfId="0" applyFont="1" applyFill="1" applyBorder="1" applyAlignment="1">
      <alignment horizontal="center" vertical="center" wrapText="1"/>
    </xf>
    <xf numFmtId="0" fontId="27" fillId="18" borderId="58" xfId="0" applyFont="1" applyFill="1" applyBorder="1" applyAlignment="1">
      <alignment horizontal="left" vertical="top" wrapText="1"/>
    </xf>
    <xf numFmtId="0" fontId="27" fillId="18" borderId="9" xfId="0" applyFont="1" applyFill="1" applyBorder="1" applyAlignment="1">
      <alignment horizontal="left" vertical="top" wrapText="1"/>
    </xf>
    <xf numFmtId="0" fontId="27" fillId="18" borderId="59" xfId="0" applyFont="1" applyFill="1" applyBorder="1" applyAlignment="1">
      <alignment horizontal="left" vertical="top" wrapText="1"/>
    </xf>
    <xf numFmtId="0" fontId="27" fillId="18" borderId="60" xfId="0" applyFont="1" applyFill="1" applyBorder="1" applyAlignment="1">
      <alignment horizontal="left" vertical="top" wrapText="1"/>
    </xf>
    <xf numFmtId="0" fontId="27" fillId="18" borderId="0" xfId="0" applyFont="1" applyFill="1" applyBorder="1" applyAlignment="1">
      <alignment horizontal="left" vertical="top" wrapText="1"/>
    </xf>
    <xf numFmtId="0" fontId="27" fillId="18" borderId="10" xfId="0" applyFont="1" applyFill="1" applyBorder="1" applyAlignment="1">
      <alignment horizontal="left" vertical="top" wrapText="1"/>
    </xf>
    <xf numFmtId="0" fontId="27" fillId="18" borderId="3" xfId="0" applyFont="1" applyFill="1" applyBorder="1" applyAlignment="1">
      <alignment horizontal="left" vertical="top" wrapText="1"/>
    </xf>
    <xf numFmtId="0" fontId="27" fillId="18" borderId="4" xfId="0" applyFont="1" applyFill="1" applyBorder="1" applyAlignment="1">
      <alignment horizontal="left" vertical="top" wrapText="1"/>
    </xf>
    <xf numFmtId="0" fontId="27" fillId="18" borderId="14" xfId="0" applyFont="1" applyFill="1" applyBorder="1" applyAlignment="1">
      <alignment horizontal="left" vertical="top" wrapText="1"/>
    </xf>
    <xf numFmtId="0" fontId="7" fillId="3" borderId="57" xfId="0" applyFont="1" applyFill="1" applyBorder="1" applyAlignment="1">
      <alignment horizontal="left" vertical="center"/>
    </xf>
    <xf numFmtId="0" fontId="6" fillId="0" borderId="0" xfId="0" applyFont="1" applyAlignment="1">
      <alignment horizontal="left" vertical="center" wrapText="1"/>
    </xf>
    <xf numFmtId="0" fontId="7" fillId="0" borderId="32" xfId="0" applyFont="1" applyBorder="1" applyAlignment="1">
      <alignment horizontal="center"/>
    </xf>
    <xf numFmtId="0" fontId="7" fillId="0" borderId="30" xfId="0" applyFont="1" applyBorder="1" applyAlignment="1">
      <alignment horizontal="center"/>
    </xf>
    <xf numFmtId="0" fontId="30" fillId="0" borderId="31" xfId="0" applyFont="1" applyBorder="1" applyAlignment="1">
      <alignment horizontal="center"/>
    </xf>
    <xf numFmtId="0" fontId="30" fillId="0" borderId="32" xfId="0" applyFont="1" applyBorder="1" applyAlignment="1">
      <alignment horizontal="left"/>
    </xf>
    <xf numFmtId="0" fontId="30" fillId="0" borderId="30" xfId="0" applyFont="1" applyBorder="1" applyAlignment="1">
      <alignment horizontal="left"/>
    </xf>
    <xf numFmtId="0" fontId="30" fillId="0" borderId="39" xfId="0" applyFont="1" applyBorder="1" applyAlignment="1">
      <alignment horizontal="center"/>
    </xf>
    <xf numFmtId="0" fontId="30" fillId="0" borderId="32" xfId="0" applyFont="1" applyBorder="1" applyAlignment="1">
      <alignment horizontal="center"/>
    </xf>
    <xf numFmtId="0" fontId="30" fillId="0" borderId="30" xfId="0" applyFont="1" applyBorder="1" applyAlignment="1">
      <alignment horizontal="center"/>
    </xf>
    <xf numFmtId="0" fontId="32" fillId="0" borderId="0" xfId="0" applyFont="1" applyFill="1" applyBorder="1" applyAlignment="1" applyProtection="1">
      <alignment horizontal="left" vertical="center" wrapText="1"/>
    </xf>
    <xf numFmtId="0" fontId="7" fillId="0" borderId="32" xfId="0" applyFont="1" applyBorder="1" applyAlignment="1">
      <alignment horizontal="center" wrapText="1"/>
    </xf>
    <xf numFmtId="0" fontId="7" fillId="0" borderId="30" xfId="0" applyFont="1" applyBorder="1" applyAlignment="1">
      <alignment horizontal="center" wrapText="1"/>
    </xf>
  </cellXfs>
  <cellStyles count="4">
    <cellStyle name="Comma" xfId="2" builtinId="3"/>
    <cellStyle name="Hyperlink" xfId="1" builtinId="8"/>
    <cellStyle name="Normal" xfId="0" builtinId="0"/>
    <cellStyle name="Percent" xfId="3" builtinId="5"/>
  </cellStyles>
  <dxfs count="2">
    <dxf>
      <font>
        <color theme="0"/>
      </font>
      <fill>
        <patternFill patternType="none">
          <bgColor auto="1"/>
        </patternFill>
      </fill>
    </dxf>
    <dxf>
      <font>
        <color auto="1"/>
      </font>
      <fill>
        <patternFill>
          <bgColor rgb="FFFF0000"/>
        </patternFill>
      </fill>
    </dxf>
  </dxfs>
  <tableStyles count="0" defaultTableStyle="TableStyleMedium2" defaultPivotStyle="PivotStyleLight16"/>
  <colors>
    <mruColors>
      <color rgb="FF9BBB59"/>
      <color rgb="FF33CC33"/>
      <color rgb="FFFFCCFF"/>
      <color rgb="FFFF99FF"/>
      <color rgb="FF00FF00"/>
      <color rgb="FFFF3399"/>
      <color rgb="FFFF00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hyperlink" Target="http://www.deq.state.or.us/wq/assessment/rpt2010/search.asp" TargetMode="External"/><Relationship Id="rId3" Type="http://schemas.openxmlformats.org/officeDocument/2006/relationships/hyperlink" Target="http://www.dfw.state.or.us/wildlife/diversity/species/sensitive_species.asp" TargetMode="External"/><Relationship Id="rId7" Type="http://schemas.openxmlformats.org/officeDocument/2006/relationships/hyperlink" Target="http://oregonstate.edu/inr/ilap" TargetMode="External"/><Relationship Id="rId2" Type="http://schemas.openxmlformats.org/officeDocument/2006/relationships/hyperlink" Target="http://www.dfw.state.or.us/wildlife/diversity/species/threatened_endangered_candidate_list.asp" TargetMode="External"/><Relationship Id="rId1" Type="http://schemas.openxmlformats.org/officeDocument/2006/relationships/hyperlink" Target="http://www.dfw.state.or.us/wildlife/diversity/species/threatened_endangered_candidate_list.asp" TargetMode="External"/><Relationship Id="rId6" Type="http://schemas.openxmlformats.org/officeDocument/2006/relationships/hyperlink" Target="http://chetco-new.dsl.state.or.us/esh/index.html" TargetMode="External"/><Relationship Id="rId5" Type="http://schemas.openxmlformats.org/officeDocument/2006/relationships/hyperlink" Target="http://nas.er.usgs.gov/" TargetMode="External"/><Relationship Id="rId4" Type="http://schemas.openxmlformats.org/officeDocument/2006/relationships/hyperlink" Target="http://www.oregon.gov/dsl/PERMITS/Pages/esshabitat.aspx" TargetMode="External"/><Relationship Id="rId9"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oregonstate.edu/dept/ODFW/freshwater/inventory/habratere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Normal="100" workbookViewId="0">
      <selection activeCell="B4" sqref="B4:J4"/>
    </sheetView>
  </sheetViews>
  <sheetFormatPr defaultRowHeight="14.4" x14ac:dyDescent="0.3"/>
  <cols>
    <col min="1" max="1" width="3.88671875" style="15" customWidth="1"/>
    <col min="2" max="2" width="21.33203125" style="1" customWidth="1"/>
    <col min="5" max="5" width="5.44140625" customWidth="1"/>
    <col min="6" max="6" width="18" customWidth="1"/>
    <col min="7" max="7" width="5.33203125" customWidth="1"/>
    <col min="8" max="8" width="17.88671875" customWidth="1"/>
    <col min="10" max="10" width="19.109375" customWidth="1"/>
  </cols>
  <sheetData>
    <row r="1" spans="2:11" x14ac:dyDescent="0.3">
      <c r="B1" s="230"/>
      <c r="C1" s="15"/>
      <c r="D1" s="15"/>
      <c r="E1" s="15"/>
      <c r="F1" s="15"/>
      <c r="G1" s="15"/>
      <c r="H1" s="15"/>
      <c r="I1" s="15"/>
      <c r="J1" s="15"/>
      <c r="K1" s="15"/>
    </row>
    <row r="2" spans="2:11" ht="20.100000000000001" customHeight="1" x14ac:dyDescent="0.35">
      <c r="B2" s="373" t="s">
        <v>219</v>
      </c>
      <c r="C2" s="373"/>
      <c r="D2" s="373"/>
      <c r="E2" s="231"/>
      <c r="F2" s="372" t="s">
        <v>406</v>
      </c>
      <c r="G2" s="372"/>
      <c r="H2" s="15"/>
      <c r="I2" s="231"/>
      <c r="J2" s="233" t="s">
        <v>407</v>
      </c>
      <c r="K2" s="15"/>
    </row>
    <row r="3" spans="2:11" s="15" customFormat="1" x14ac:dyDescent="0.3">
      <c r="B3" s="230"/>
    </row>
    <row r="4" spans="2:11" s="15" customFormat="1" ht="59.25" customHeight="1" x14ac:dyDescent="0.35">
      <c r="B4" s="374" t="s">
        <v>403</v>
      </c>
      <c r="C4" s="374"/>
      <c r="D4" s="374"/>
      <c r="E4" s="374"/>
      <c r="F4" s="374"/>
      <c r="G4" s="374"/>
      <c r="H4" s="374"/>
      <c r="I4" s="374"/>
      <c r="J4" s="374"/>
      <c r="K4" s="234"/>
    </row>
    <row r="5" spans="2:11" s="15" customFormat="1" x14ac:dyDescent="0.3">
      <c r="B5" s="230"/>
    </row>
    <row r="6" spans="2:11" ht="15.6" x14ac:dyDescent="0.3">
      <c r="B6" s="368" t="s">
        <v>311</v>
      </c>
      <c r="C6" s="369"/>
      <c r="D6" s="369"/>
      <c r="E6" s="369"/>
      <c r="F6" s="369"/>
      <c r="G6" s="369"/>
      <c r="H6" s="369"/>
      <c r="I6" s="369"/>
      <c r="J6" s="370"/>
      <c r="K6" s="15"/>
    </row>
    <row r="7" spans="2:11" x14ac:dyDescent="0.3">
      <c r="B7" s="235" t="s">
        <v>312</v>
      </c>
      <c r="C7" s="15"/>
      <c r="D7" s="15"/>
      <c r="E7" s="15"/>
      <c r="F7" s="15"/>
      <c r="G7" s="15"/>
      <c r="H7" s="15"/>
      <c r="I7" s="15"/>
      <c r="J7" s="15"/>
      <c r="K7" s="15"/>
    </row>
    <row r="8" spans="2:11" s="15" customFormat="1" x14ac:dyDescent="0.3">
      <c r="B8" s="235"/>
    </row>
    <row r="9" spans="2:11" s="15" customFormat="1" ht="15" customHeight="1" x14ac:dyDescent="0.3">
      <c r="B9" s="371" t="s">
        <v>218</v>
      </c>
      <c r="C9" s="371"/>
      <c r="D9" s="371"/>
      <c r="E9" s="371"/>
      <c r="F9" s="371"/>
      <c r="G9" s="371"/>
      <c r="H9" s="371"/>
      <c r="I9" s="371"/>
      <c r="J9" s="371"/>
      <c r="K9" s="232"/>
    </row>
    <row r="10" spans="2:11" s="15" customFormat="1" x14ac:dyDescent="0.3">
      <c r="B10" s="230"/>
      <c r="C10" s="58" t="s">
        <v>80</v>
      </c>
      <c r="D10" s="236"/>
      <c r="E10" s="230"/>
      <c r="F10" s="58" t="s">
        <v>159</v>
      </c>
      <c r="G10" s="237"/>
      <c r="H10" s="230"/>
      <c r="I10" s="230"/>
      <c r="J10" s="230"/>
      <c r="K10" s="230"/>
    </row>
    <row r="11" spans="2:11" x14ac:dyDescent="0.3">
      <c r="B11" s="230"/>
      <c r="C11" s="15"/>
      <c r="D11" s="15"/>
      <c r="E11" s="15"/>
      <c r="F11" s="15"/>
      <c r="G11" s="15"/>
      <c r="H11" s="15"/>
      <c r="I11" s="15"/>
      <c r="J11" s="15"/>
      <c r="K11" s="15"/>
    </row>
    <row r="12" spans="2:11" ht="80.099999999999994" customHeight="1" x14ac:dyDescent="0.3">
      <c r="B12" s="371" t="s">
        <v>313</v>
      </c>
      <c r="C12" s="371"/>
      <c r="D12" s="371"/>
      <c r="E12" s="371"/>
      <c r="F12" s="371"/>
      <c r="G12" s="371"/>
      <c r="H12" s="371"/>
      <c r="I12" s="371"/>
      <c r="J12" s="371"/>
      <c r="K12" s="230"/>
    </row>
    <row r="13" spans="2:11" s="15" customFormat="1" x14ac:dyDescent="0.3">
      <c r="B13" s="232"/>
    </row>
    <row r="14" spans="2:11" s="15" customFormat="1" ht="30" customHeight="1" x14ac:dyDescent="0.3">
      <c r="B14" s="371" t="s">
        <v>389</v>
      </c>
      <c r="C14" s="371"/>
      <c r="D14" s="371"/>
      <c r="E14" s="371"/>
      <c r="F14" s="371"/>
      <c r="G14" s="371"/>
      <c r="H14" s="371"/>
      <c r="I14" s="371"/>
      <c r="J14" s="371"/>
    </row>
    <row r="15" spans="2:11" x14ac:dyDescent="0.3">
      <c r="B15" s="230"/>
      <c r="C15" s="15"/>
      <c r="D15" s="15"/>
      <c r="E15" s="15"/>
      <c r="F15" s="15"/>
      <c r="G15" s="15"/>
      <c r="H15" s="15"/>
      <c r="I15" s="15"/>
      <c r="J15" s="15"/>
      <c r="K15" s="15"/>
    </row>
    <row r="16" spans="2:11" ht="15.6" x14ac:dyDescent="0.3">
      <c r="B16" s="368" t="s">
        <v>314</v>
      </c>
      <c r="C16" s="369"/>
      <c r="D16" s="369"/>
      <c r="E16" s="369"/>
      <c r="F16" s="369"/>
      <c r="G16" s="369"/>
      <c r="H16" s="369"/>
      <c r="I16" s="369"/>
      <c r="J16" s="370"/>
      <c r="K16" s="15"/>
    </row>
    <row r="17" spans="2:11" x14ac:dyDescent="0.3">
      <c r="B17" s="238" t="s">
        <v>245</v>
      </c>
      <c r="C17" s="15" t="s">
        <v>315</v>
      </c>
      <c r="D17" s="15"/>
      <c r="E17" s="15"/>
      <c r="F17" s="15"/>
      <c r="G17" s="15"/>
      <c r="H17" s="15"/>
      <c r="I17" s="15"/>
      <c r="J17" s="15"/>
      <c r="K17" s="15"/>
    </row>
    <row r="18" spans="2:11" x14ac:dyDescent="0.3">
      <c r="B18" s="238" t="s">
        <v>316</v>
      </c>
      <c r="C18" s="15" t="s">
        <v>317</v>
      </c>
      <c r="D18" s="15"/>
      <c r="E18" s="15"/>
      <c r="F18" s="15"/>
      <c r="G18" s="15"/>
      <c r="H18" s="15"/>
      <c r="I18" s="15"/>
      <c r="J18" s="15"/>
      <c r="K18" s="15"/>
    </row>
    <row r="19" spans="2:11" x14ac:dyDescent="0.3">
      <c r="B19" s="238" t="s">
        <v>318</v>
      </c>
      <c r="C19" s="15" t="s">
        <v>319</v>
      </c>
      <c r="D19" s="15"/>
      <c r="E19" s="15"/>
      <c r="F19" s="15"/>
      <c r="G19" s="15"/>
      <c r="H19" s="15"/>
      <c r="I19" s="15"/>
      <c r="J19" s="15"/>
      <c r="K19" s="15"/>
    </row>
    <row r="20" spans="2:11" x14ac:dyDescent="0.3">
      <c r="B20" s="238" t="s">
        <v>320</v>
      </c>
      <c r="C20" s="15" t="s">
        <v>321</v>
      </c>
      <c r="D20" s="15"/>
      <c r="E20" s="15"/>
      <c r="F20" s="15"/>
      <c r="G20" s="15"/>
      <c r="H20" s="15"/>
      <c r="I20" s="15"/>
      <c r="J20" s="15"/>
      <c r="K20" s="15"/>
    </row>
    <row r="21" spans="2:11" x14ac:dyDescent="0.3">
      <c r="B21" s="238" t="s">
        <v>322</v>
      </c>
      <c r="C21" s="15" t="s">
        <v>323</v>
      </c>
      <c r="D21" s="15"/>
      <c r="E21" s="15"/>
      <c r="F21" s="15"/>
      <c r="G21" s="15"/>
      <c r="H21" s="15"/>
      <c r="I21" s="15"/>
      <c r="J21" s="15"/>
      <c r="K21" s="15"/>
    </row>
    <row r="22" spans="2:11" x14ac:dyDescent="0.3">
      <c r="B22" s="238" t="s">
        <v>324</v>
      </c>
      <c r="C22" s="15" t="s">
        <v>325</v>
      </c>
      <c r="D22" s="15"/>
      <c r="E22" s="15"/>
      <c r="F22" s="15"/>
      <c r="G22" s="15"/>
      <c r="H22" s="15"/>
      <c r="I22" s="15"/>
      <c r="J22" s="15"/>
      <c r="K22" s="15"/>
    </row>
    <row r="23" spans="2:11" x14ac:dyDescent="0.3">
      <c r="B23" s="238" t="s">
        <v>3</v>
      </c>
      <c r="C23" s="15" t="s">
        <v>326</v>
      </c>
      <c r="D23" s="15"/>
      <c r="E23" s="15"/>
      <c r="F23" s="15"/>
      <c r="G23" s="15"/>
      <c r="H23" s="15"/>
      <c r="I23" s="15"/>
      <c r="J23" s="15"/>
      <c r="K23" s="15"/>
    </row>
    <row r="24" spans="2:11" x14ac:dyDescent="0.3">
      <c r="B24" s="238" t="s">
        <v>327</v>
      </c>
      <c r="C24" s="15" t="s">
        <v>328</v>
      </c>
      <c r="D24" s="15"/>
      <c r="E24" s="15"/>
      <c r="F24" s="15"/>
      <c r="G24" s="15"/>
      <c r="H24" s="15"/>
      <c r="I24" s="15"/>
      <c r="J24" s="15"/>
      <c r="K24" s="15"/>
    </row>
    <row r="25" spans="2:11" x14ac:dyDescent="0.3">
      <c r="B25" s="238" t="s">
        <v>329</v>
      </c>
      <c r="C25" s="15" t="s">
        <v>330</v>
      </c>
      <c r="D25" s="15"/>
      <c r="E25" s="15"/>
      <c r="F25" s="15"/>
      <c r="G25" s="15"/>
      <c r="H25" s="15"/>
      <c r="I25" s="15"/>
      <c r="J25" s="15"/>
      <c r="K25" s="15"/>
    </row>
    <row r="26" spans="2:11" ht="15" thickBot="1" x14ac:dyDescent="0.35">
      <c r="B26" s="230"/>
      <c r="C26" s="15"/>
      <c r="D26" s="15"/>
      <c r="E26" s="15"/>
      <c r="F26" s="15"/>
      <c r="G26" s="15"/>
      <c r="H26" s="15"/>
      <c r="I26" s="15"/>
      <c r="J26" s="15"/>
      <c r="K26" s="15"/>
    </row>
    <row r="27" spans="2:11" ht="16.2" thickBot="1" x14ac:dyDescent="0.35">
      <c r="B27" s="363" t="s">
        <v>249</v>
      </c>
      <c r="C27" s="364"/>
      <c r="D27" s="364"/>
      <c r="E27" s="364"/>
      <c r="F27" s="364"/>
      <c r="G27" s="364"/>
      <c r="H27" s="364"/>
      <c r="I27" s="364"/>
      <c r="J27" s="365"/>
      <c r="K27" s="15"/>
    </row>
    <row r="28" spans="2:11" ht="30" customHeight="1" x14ac:dyDescent="0.3">
      <c r="B28" s="239" t="s">
        <v>331</v>
      </c>
      <c r="C28" s="366" t="s">
        <v>332</v>
      </c>
      <c r="D28" s="366"/>
      <c r="E28" s="366"/>
      <c r="F28" s="366"/>
      <c r="G28" s="366"/>
      <c r="H28" s="366"/>
      <c r="I28" s="366"/>
      <c r="J28" s="367"/>
      <c r="K28" s="15"/>
    </row>
    <row r="29" spans="2:11" x14ac:dyDescent="0.3">
      <c r="B29" s="240" t="s">
        <v>333</v>
      </c>
      <c r="C29" s="359" t="s">
        <v>334</v>
      </c>
      <c r="D29" s="359"/>
      <c r="E29" s="359"/>
      <c r="F29" s="359"/>
      <c r="G29" s="359"/>
      <c r="H29" s="359"/>
      <c r="I29" s="359"/>
      <c r="J29" s="360"/>
      <c r="K29" s="15"/>
    </row>
    <row r="30" spans="2:11" x14ac:dyDescent="0.3">
      <c r="B30" s="240" t="s">
        <v>335</v>
      </c>
      <c r="C30" s="359" t="s">
        <v>336</v>
      </c>
      <c r="D30" s="359"/>
      <c r="E30" s="359"/>
      <c r="F30" s="359"/>
      <c r="G30" s="359"/>
      <c r="H30" s="359"/>
      <c r="I30" s="359"/>
      <c r="J30" s="360"/>
      <c r="K30" s="15"/>
    </row>
    <row r="31" spans="2:11" ht="28.8" x14ac:dyDescent="0.3">
      <c r="B31" s="241" t="s">
        <v>337</v>
      </c>
      <c r="C31" s="357" t="s">
        <v>338</v>
      </c>
      <c r="D31" s="357"/>
      <c r="E31" s="357"/>
      <c r="F31" s="357"/>
      <c r="G31" s="357"/>
      <c r="H31" s="357"/>
      <c r="I31" s="357"/>
      <c r="J31" s="358"/>
      <c r="K31" s="15"/>
    </row>
    <row r="32" spans="2:11" ht="30" customHeight="1" x14ac:dyDescent="0.3">
      <c r="B32" s="242" t="s">
        <v>135</v>
      </c>
      <c r="C32" s="357" t="s">
        <v>339</v>
      </c>
      <c r="D32" s="357"/>
      <c r="E32" s="357"/>
      <c r="F32" s="357"/>
      <c r="G32" s="357"/>
      <c r="H32" s="357"/>
      <c r="I32" s="357"/>
      <c r="J32" s="358"/>
      <c r="K32" s="15"/>
    </row>
    <row r="33" spans="2:11" x14ac:dyDescent="0.3">
      <c r="B33" s="240" t="s">
        <v>340</v>
      </c>
      <c r="C33" s="359" t="s">
        <v>341</v>
      </c>
      <c r="D33" s="359"/>
      <c r="E33" s="359"/>
      <c r="F33" s="359"/>
      <c r="G33" s="359"/>
      <c r="H33" s="359"/>
      <c r="I33" s="359"/>
      <c r="J33" s="360"/>
      <c r="K33" s="15"/>
    </row>
    <row r="34" spans="2:11" x14ac:dyDescent="0.3">
      <c r="B34" s="243" t="s">
        <v>342</v>
      </c>
      <c r="C34" s="361" t="s">
        <v>391</v>
      </c>
      <c r="D34" s="361"/>
      <c r="E34" s="361"/>
      <c r="F34" s="361"/>
      <c r="G34" s="361"/>
      <c r="H34" s="361"/>
      <c r="I34" s="361"/>
      <c r="J34" s="362"/>
      <c r="K34" s="15"/>
    </row>
    <row r="35" spans="2:11" x14ac:dyDescent="0.3">
      <c r="B35" s="240" t="s">
        <v>343</v>
      </c>
      <c r="C35" s="359" t="s">
        <v>344</v>
      </c>
      <c r="D35" s="359"/>
      <c r="E35" s="359"/>
      <c r="F35" s="359"/>
      <c r="G35" s="359"/>
      <c r="H35" s="359"/>
      <c r="I35" s="359"/>
      <c r="J35" s="360"/>
      <c r="K35" s="15"/>
    </row>
    <row r="36" spans="2:11" ht="45.9" customHeight="1" x14ac:dyDescent="0.3">
      <c r="B36" s="241" t="s">
        <v>345</v>
      </c>
      <c r="C36" s="357" t="s">
        <v>346</v>
      </c>
      <c r="D36" s="357"/>
      <c r="E36" s="357"/>
      <c r="F36" s="357"/>
      <c r="G36" s="357"/>
      <c r="H36" s="357"/>
      <c r="I36" s="357"/>
      <c r="J36" s="358"/>
      <c r="K36" s="15"/>
    </row>
    <row r="37" spans="2:11" ht="30" customHeight="1" x14ac:dyDescent="0.3">
      <c r="B37" s="242" t="s">
        <v>347</v>
      </c>
      <c r="C37" s="357" t="s">
        <v>348</v>
      </c>
      <c r="D37" s="357"/>
      <c r="E37" s="357"/>
      <c r="F37" s="357"/>
      <c r="G37" s="357"/>
      <c r="H37" s="357"/>
      <c r="I37" s="357"/>
      <c r="J37" s="358"/>
      <c r="K37" s="15"/>
    </row>
    <row r="38" spans="2:11" ht="30" customHeight="1" x14ac:dyDescent="0.3">
      <c r="B38" s="242" t="s">
        <v>349</v>
      </c>
      <c r="C38" s="357" t="s">
        <v>350</v>
      </c>
      <c r="D38" s="357"/>
      <c r="E38" s="357"/>
      <c r="F38" s="357"/>
      <c r="G38" s="357"/>
      <c r="H38" s="357"/>
      <c r="I38" s="357"/>
      <c r="J38" s="358"/>
      <c r="K38" s="15"/>
    </row>
    <row r="39" spans="2:11" ht="28.8" x14ac:dyDescent="0.3">
      <c r="B39" s="241" t="s">
        <v>351</v>
      </c>
      <c r="C39" s="357" t="s">
        <v>352</v>
      </c>
      <c r="D39" s="357"/>
      <c r="E39" s="357"/>
      <c r="F39" s="357"/>
      <c r="G39" s="357"/>
      <c r="H39" s="357"/>
      <c r="I39" s="357"/>
      <c r="J39" s="358"/>
      <c r="K39" s="15"/>
    </row>
    <row r="40" spans="2:11" ht="30" customHeight="1" x14ac:dyDescent="0.3">
      <c r="B40" s="241" t="s">
        <v>353</v>
      </c>
      <c r="C40" s="357" t="s">
        <v>354</v>
      </c>
      <c r="D40" s="357"/>
      <c r="E40" s="357"/>
      <c r="F40" s="357"/>
      <c r="G40" s="357"/>
      <c r="H40" s="357"/>
      <c r="I40" s="357"/>
      <c r="J40" s="358"/>
      <c r="K40" s="15"/>
    </row>
    <row r="41" spans="2:11" x14ac:dyDescent="0.3">
      <c r="B41" s="243" t="s">
        <v>355</v>
      </c>
      <c r="C41" s="359" t="s">
        <v>356</v>
      </c>
      <c r="D41" s="359"/>
      <c r="E41" s="359"/>
      <c r="F41" s="359"/>
      <c r="G41" s="359"/>
      <c r="H41" s="359"/>
      <c r="I41" s="359"/>
      <c r="J41" s="360"/>
      <c r="K41" s="15"/>
    </row>
    <row r="42" spans="2:11" ht="30" customHeight="1" thickBot="1" x14ac:dyDescent="0.35">
      <c r="B42" s="244" t="s">
        <v>357</v>
      </c>
      <c r="C42" s="355" t="s">
        <v>358</v>
      </c>
      <c r="D42" s="355"/>
      <c r="E42" s="355"/>
      <c r="F42" s="355"/>
      <c r="G42" s="355"/>
      <c r="H42" s="355"/>
      <c r="I42" s="355"/>
      <c r="J42" s="356"/>
      <c r="K42" s="15"/>
    </row>
    <row r="43" spans="2:11" x14ac:dyDescent="0.3">
      <c r="B43" s="230"/>
      <c r="C43" s="15"/>
      <c r="D43" s="15"/>
      <c r="E43" s="15"/>
      <c r="F43" s="15"/>
      <c r="G43" s="15"/>
      <c r="H43" s="15"/>
      <c r="I43" s="15"/>
      <c r="J43" s="15"/>
      <c r="K43" s="15"/>
    </row>
  </sheetData>
  <mergeCells count="24">
    <mergeCell ref="B16:J16"/>
    <mergeCell ref="B9:J9"/>
    <mergeCell ref="B14:J14"/>
    <mergeCell ref="F2:G2"/>
    <mergeCell ref="B2:D2"/>
    <mergeCell ref="B4:J4"/>
    <mergeCell ref="B6:J6"/>
    <mergeCell ref="B12:J12"/>
    <mergeCell ref="B27:J27"/>
    <mergeCell ref="C28:J28"/>
    <mergeCell ref="C29:J29"/>
    <mergeCell ref="C30:J30"/>
    <mergeCell ref="C31:J31"/>
    <mergeCell ref="C32:J32"/>
    <mergeCell ref="C33:J33"/>
    <mergeCell ref="C34:J34"/>
    <mergeCell ref="C35:J35"/>
    <mergeCell ref="C36:J36"/>
    <mergeCell ref="C42:J42"/>
    <mergeCell ref="C37:J37"/>
    <mergeCell ref="C38:J38"/>
    <mergeCell ref="C39:J39"/>
    <mergeCell ref="C40:J40"/>
    <mergeCell ref="C41:J41"/>
  </mergeCells>
  <printOptions horizontalCentered="1"/>
  <pageMargins left="0.5" right="0.5" top="0.5" bottom="0.5" header="0.3" footer="0.3"/>
  <pageSetup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zoomScale="75" zoomScaleNormal="75" zoomScaleSheetLayoutView="40" zoomScalePageLayoutView="40" workbookViewId="0">
      <selection activeCell="E12" sqref="E12"/>
    </sheetView>
  </sheetViews>
  <sheetFormatPr defaultColWidth="9.109375" defaultRowHeight="14.4" x14ac:dyDescent="0.3"/>
  <cols>
    <col min="1" max="1" width="4.6640625" style="34" customWidth="1"/>
    <col min="2" max="2" width="25.88671875" style="34" customWidth="1"/>
    <col min="3" max="3" width="27.6640625" style="34" customWidth="1"/>
    <col min="4" max="4" width="9" style="34" customWidth="1"/>
    <col min="5" max="5" width="8.33203125" style="34" customWidth="1"/>
    <col min="6" max="6" width="12.109375" style="34" customWidth="1"/>
    <col min="7" max="7" width="12.6640625" style="34" customWidth="1"/>
    <col min="8" max="8" width="16.44140625" style="34" customWidth="1"/>
    <col min="9" max="9" width="13.109375" style="34" customWidth="1"/>
    <col min="10" max="10" width="12.44140625" style="34" customWidth="1"/>
    <col min="11" max="11" width="9.109375" style="34" customWidth="1"/>
    <col min="12" max="12" width="2.88671875" style="34" customWidth="1"/>
    <col min="13" max="13" width="5.44140625" style="34" customWidth="1"/>
    <col min="14" max="14" width="6.44140625" style="34" customWidth="1"/>
    <col min="15" max="16384" width="9.109375" style="34"/>
  </cols>
  <sheetData>
    <row r="1" spans="1:14" ht="24.9" customHeight="1" x14ac:dyDescent="0.3">
      <c r="B1" s="394" t="s">
        <v>404</v>
      </c>
      <c r="C1" s="395"/>
      <c r="D1" s="395"/>
      <c r="E1" s="395"/>
      <c r="F1" s="395"/>
      <c r="G1" s="395"/>
      <c r="H1" s="395"/>
      <c r="I1" s="395"/>
      <c r="J1" s="395"/>
      <c r="K1" s="395"/>
      <c r="L1" s="396"/>
    </row>
    <row r="2" spans="1:14" ht="18.75" customHeight="1" thickBot="1" x14ac:dyDescent="0.35">
      <c r="B2" s="397" t="str">
        <f>Introduction!F2</f>
        <v>Version 1.1</v>
      </c>
      <c r="C2" s="398"/>
      <c r="D2" s="398"/>
      <c r="E2" s="398"/>
      <c r="F2" s="398"/>
      <c r="G2" s="398"/>
      <c r="H2" s="398"/>
      <c r="I2" s="398"/>
      <c r="J2" s="398"/>
      <c r="K2" s="398"/>
      <c r="L2" s="399"/>
    </row>
    <row r="3" spans="1:14" ht="18" x14ac:dyDescent="0.35">
      <c r="B3" s="66"/>
      <c r="C3" s="66"/>
      <c r="D3" s="66"/>
      <c r="E3" s="66"/>
      <c r="F3" s="66"/>
      <c r="G3" s="66"/>
      <c r="H3" s="66"/>
      <c r="I3" s="67"/>
    </row>
    <row r="4" spans="1:14" ht="24.75" customHeight="1" x14ac:dyDescent="0.3">
      <c r="B4" s="86" t="s">
        <v>56</v>
      </c>
      <c r="C4" s="379" t="s">
        <v>408</v>
      </c>
      <c r="D4" s="379"/>
      <c r="E4" s="379"/>
      <c r="F4" s="379"/>
      <c r="G4" s="87"/>
      <c r="H4" s="197"/>
      <c r="I4" s="196" t="s">
        <v>304</v>
      </c>
      <c r="J4" s="400" t="s">
        <v>300</v>
      </c>
      <c r="K4" s="400"/>
      <c r="L4" s="87"/>
    </row>
    <row r="5" spans="1:14" ht="13.5" customHeight="1" x14ac:dyDescent="0.3">
      <c r="B5" s="86"/>
      <c r="C5" s="86"/>
      <c r="D5" s="88"/>
      <c r="E5" s="87"/>
      <c r="F5" s="89"/>
      <c r="G5" s="87"/>
      <c r="H5" s="90"/>
      <c r="I5" s="87"/>
      <c r="J5" s="87"/>
      <c r="K5" s="87"/>
      <c r="L5" s="87"/>
    </row>
    <row r="6" spans="1:14" ht="24.75" customHeight="1" x14ac:dyDescent="0.3">
      <c r="B6" s="86" t="s">
        <v>58</v>
      </c>
      <c r="C6" s="379" t="s">
        <v>405</v>
      </c>
      <c r="D6" s="379"/>
      <c r="E6" s="379"/>
      <c r="F6" s="379"/>
      <c r="G6" s="87"/>
      <c r="H6" s="87"/>
      <c r="I6" s="86" t="s">
        <v>76</v>
      </c>
      <c r="J6" s="392">
        <v>42184</v>
      </c>
      <c r="K6" s="392"/>
      <c r="L6" s="87"/>
    </row>
    <row r="7" spans="1:14" ht="13.5" customHeight="1" x14ac:dyDescent="0.3">
      <c r="B7" s="86"/>
      <c r="C7" s="86"/>
      <c r="D7" s="88"/>
      <c r="E7" s="87"/>
      <c r="F7" s="87"/>
      <c r="G7" s="87"/>
      <c r="H7" s="89"/>
      <c r="I7" s="391"/>
      <c r="J7" s="391"/>
      <c r="K7" s="91"/>
      <c r="L7" s="87"/>
    </row>
    <row r="8" spans="1:14" ht="24.75" customHeight="1" x14ac:dyDescent="0.3">
      <c r="B8" s="86" t="s">
        <v>77</v>
      </c>
      <c r="C8" s="379"/>
      <c r="D8" s="379"/>
      <c r="E8" s="379"/>
      <c r="F8" s="379"/>
      <c r="G8" s="87"/>
      <c r="H8" s="393" t="s">
        <v>57</v>
      </c>
      <c r="I8" s="393"/>
      <c r="J8" s="392"/>
      <c r="K8" s="392"/>
      <c r="L8" s="87"/>
    </row>
    <row r="9" spans="1:14" ht="13.5" customHeight="1" x14ac:dyDescent="0.3">
      <c r="B9" s="86"/>
      <c r="C9" s="86"/>
      <c r="D9" s="88"/>
      <c r="E9" s="87"/>
      <c r="F9" s="89"/>
      <c r="G9" s="87"/>
      <c r="H9" s="90"/>
      <c r="I9" s="89"/>
      <c r="J9" s="92"/>
      <c r="K9" s="87"/>
      <c r="L9" s="87"/>
    </row>
    <row r="10" spans="1:14" ht="33.75" customHeight="1" x14ac:dyDescent="0.3">
      <c r="A10" s="393" t="s">
        <v>59</v>
      </c>
      <c r="B10" s="393"/>
      <c r="C10" s="378"/>
      <c r="D10" s="378"/>
      <c r="E10" s="87"/>
      <c r="F10" s="87"/>
      <c r="H10" s="393" t="s">
        <v>283</v>
      </c>
      <c r="I10" s="404"/>
      <c r="J10" s="403">
        <f>IF(TotMiles="","",TotMiles)</f>
        <v>21.7</v>
      </c>
      <c r="K10" s="403"/>
      <c r="L10" s="87"/>
    </row>
    <row r="11" spans="1:14" ht="12" customHeight="1" x14ac:dyDescent="0.3">
      <c r="E11" s="87"/>
      <c r="F11" s="87"/>
      <c r="G11" s="91"/>
      <c r="H11" s="91"/>
      <c r="I11" s="87"/>
      <c r="J11" s="87"/>
      <c r="K11" s="87"/>
      <c r="L11" s="87"/>
    </row>
    <row r="12" spans="1:14" ht="33" customHeight="1" x14ac:dyDescent="0.3">
      <c r="B12" s="192" t="s">
        <v>250</v>
      </c>
      <c r="C12" s="253">
        <v>45.366785</v>
      </c>
      <c r="D12" s="87"/>
      <c r="E12" s="87"/>
      <c r="F12" s="87"/>
      <c r="H12" s="192"/>
      <c r="I12" s="401" t="s">
        <v>13</v>
      </c>
      <c r="J12" s="401" t="s">
        <v>11</v>
      </c>
      <c r="K12" s="401" t="s">
        <v>12</v>
      </c>
      <c r="N12" s="192"/>
    </row>
    <row r="13" spans="1:14" ht="12.75" customHeight="1" x14ac:dyDescent="0.3">
      <c r="B13" s="383"/>
      <c r="C13" s="383"/>
      <c r="D13" s="384"/>
      <c r="E13" s="87"/>
      <c r="F13" s="193"/>
      <c r="H13" s="87"/>
      <c r="I13" s="402"/>
      <c r="J13" s="402"/>
      <c r="K13" s="402"/>
    </row>
    <row r="14" spans="1:14" ht="33" customHeight="1" x14ac:dyDescent="0.3">
      <c r="B14" s="192" t="s">
        <v>251</v>
      </c>
      <c r="C14" s="252">
        <v>-123.49263000000001</v>
      </c>
      <c r="D14" s="195"/>
      <c r="H14" s="187" t="str">
        <f>IF(J4="","",IF(J4="Impact","Debits:","Credit:"))</f>
        <v>Credit:</v>
      </c>
      <c r="I14" s="260">
        <f>IF($J$4="","",IF($J$4="Impact",'Credit Calculations'!E126,'Credit Calculations'!E127))</f>
        <v>68.994931659733325</v>
      </c>
      <c r="J14" s="260">
        <f>IF($J$4="","",IF($J$4="Impact",'Credit Calculations'!F126,'Credit Calculations'!F127))</f>
        <v>79.039300771685362</v>
      </c>
      <c r="K14" s="260">
        <f>IF($J$4="","",IF($J$4="Impact",'Credit Calculations'!G126,'Credit Calculations'!G127))</f>
        <v>75.762489206213331</v>
      </c>
    </row>
    <row r="15" spans="1:14" ht="12.75" customHeight="1" x14ac:dyDescent="0.3">
      <c r="B15" s="86"/>
      <c r="C15" s="86"/>
      <c r="D15" s="88"/>
      <c r="E15" s="87"/>
      <c r="F15" s="89"/>
      <c r="G15" s="87"/>
      <c r="H15" s="90"/>
      <c r="I15" s="391"/>
      <c r="J15" s="391"/>
      <c r="K15" s="87"/>
      <c r="L15" s="87"/>
    </row>
    <row r="16" spans="1:14" ht="12" customHeight="1" x14ac:dyDescent="0.3">
      <c r="B16" s="383"/>
      <c r="C16" s="383"/>
      <c r="D16" s="384"/>
      <c r="E16" s="87"/>
      <c r="F16" s="87"/>
      <c r="G16" s="87"/>
      <c r="H16" s="87"/>
      <c r="I16" s="87"/>
      <c r="J16" s="87"/>
      <c r="K16" s="87"/>
      <c r="L16" s="87"/>
    </row>
    <row r="17" spans="2:13" ht="15.6" x14ac:dyDescent="0.3">
      <c r="B17" s="385" t="s">
        <v>359</v>
      </c>
      <c r="C17" s="385"/>
      <c r="D17" s="385"/>
      <c r="E17" s="385"/>
      <c r="F17" s="385"/>
      <c r="G17" s="385"/>
      <c r="H17" s="385"/>
      <c r="I17" s="385"/>
      <c r="J17" s="385"/>
      <c r="K17" s="385"/>
      <c r="L17" s="385"/>
    </row>
    <row r="18" spans="2:13" x14ac:dyDescent="0.3">
      <c r="B18" s="386" t="s">
        <v>412</v>
      </c>
      <c r="C18" s="386"/>
      <c r="D18" s="386"/>
      <c r="E18" s="386"/>
      <c r="F18" s="386"/>
      <c r="G18" s="386"/>
      <c r="H18" s="386"/>
      <c r="I18" s="386"/>
      <c r="J18" s="386"/>
      <c r="K18" s="386"/>
      <c r="L18" s="386"/>
    </row>
    <row r="19" spans="2:13" ht="42.75" customHeight="1" x14ac:dyDescent="0.3">
      <c r="B19" s="386"/>
      <c r="C19" s="386"/>
      <c r="D19" s="386"/>
      <c r="E19" s="386"/>
      <c r="F19" s="386"/>
      <c r="G19" s="386"/>
      <c r="H19" s="386"/>
      <c r="I19" s="386"/>
      <c r="J19" s="386"/>
      <c r="K19" s="386"/>
      <c r="L19" s="386"/>
    </row>
    <row r="20" spans="2:13" ht="15.6" x14ac:dyDescent="0.3">
      <c r="B20" s="87"/>
      <c r="C20" s="87"/>
      <c r="D20" s="87"/>
      <c r="E20" s="87"/>
      <c r="F20" s="87"/>
      <c r="G20" s="87"/>
      <c r="H20" s="87"/>
      <c r="I20" s="87"/>
      <c r="J20" s="87"/>
      <c r="K20" s="87"/>
      <c r="L20" s="87"/>
    </row>
    <row r="21" spans="2:13" ht="64.5" customHeight="1" x14ac:dyDescent="0.3">
      <c r="B21" s="377" t="s">
        <v>400</v>
      </c>
      <c r="C21" s="377"/>
      <c r="D21" s="377"/>
      <c r="E21" s="377"/>
      <c r="F21" s="377"/>
      <c r="G21" s="377"/>
      <c r="H21" s="377"/>
      <c r="I21" s="377"/>
      <c r="J21" s="377"/>
      <c r="K21" s="182"/>
      <c r="L21" s="182"/>
      <c r="M21" s="77"/>
    </row>
    <row r="22" spans="2:13" ht="15.75" customHeight="1" x14ac:dyDescent="0.3">
      <c r="B22" s="405" t="s">
        <v>26</v>
      </c>
      <c r="C22" s="405"/>
      <c r="D22" s="387" t="s">
        <v>27</v>
      </c>
      <c r="E22" s="389" t="s">
        <v>28</v>
      </c>
      <c r="F22" s="380" t="s">
        <v>204</v>
      </c>
      <c r="G22" s="381"/>
      <c r="H22" s="380" t="s">
        <v>207</v>
      </c>
      <c r="I22" s="381"/>
      <c r="J22" s="375" t="s">
        <v>280</v>
      </c>
      <c r="K22" s="178"/>
      <c r="L22" s="87"/>
    </row>
    <row r="23" spans="2:13" ht="31.2" x14ac:dyDescent="0.3">
      <c r="B23" s="406"/>
      <c r="C23" s="406"/>
      <c r="D23" s="388"/>
      <c r="E23" s="390"/>
      <c r="F23" s="93" t="s">
        <v>205</v>
      </c>
      <c r="G23" s="94" t="s">
        <v>206</v>
      </c>
      <c r="H23" s="95" t="s">
        <v>208</v>
      </c>
      <c r="I23" s="179" t="s">
        <v>209</v>
      </c>
      <c r="J23" s="375"/>
      <c r="K23" s="87"/>
      <c r="L23" s="87"/>
    </row>
    <row r="24" spans="2:13" ht="15.6" x14ac:dyDescent="0.3">
      <c r="B24" s="407" t="s">
        <v>198</v>
      </c>
      <c r="C24" s="407"/>
      <c r="D24" s="96" t="s">
        <v>55</v>
      </c>
      <c r="E24" s="96" t="s">
        <v>30</v>
      </c>
      <c r="F24" s="174"/>
      <c r="G24" s="175"/>
      <c r="H24" s="176"/>
      <c r="I24" s="180"/>
      <c r="J24" s="181"/>
      <c r="K24" s="87"/>
      <c r="L24" s="87"/>
    </row>
    <row r="25" spans="2:13" ht="15.6" x14ac:dyDescent="0.3">
      <c r="B25" s="382" t="s">
        <v>200</v>
      </c>
      <c r="C25" s="382"/>
      <c r="D25" s="96" t="s">
        <v>55</v>
      </c>
      <c r="E25" s="96"/>
      <c r="F25" s="174"/>
      <c r="G25" s="175"/>
      <c r="H25" s="177"/>
      <c r="I25" s="180"/>
      <c r="J25" s="181"/>
      <c r="K25" s="87"/>
      <c r="L25" s="87"/>
    </row>
    <row r="26" spans="2:13" ht="15.6" x14ac:dyDescent="0.3">
      <c r="B26" s="382" t="s">
        <v>31</v>
      </c>
      <c r="C26" s="382"/>
      <c r="D26" s="96" t="s">
        <v>29</v>
      </c>
      <c r="E26" s="96" t="s">
        <v>30</v>
      </c>
      <c r="F26" s="174"/>
      <c r="G26" s="175"/>
      <c r="H26" s="177"/>
      <c r="I26" s="180"/>
      <c r="J26" s="181"/>
      <c r="K26" s="87"/>
      <c r="L26" s="87"/>
    </row>
    <row r="27" spans="2:13" ht="15.6" x14ac:dyDescent="0.3">
      <c r="B27" s="382" t="s">
        <v>197</v>
      </c>
      <c r="C27" s="382"/>
      <c r="D27" s="96" t="s">
        <v>55</v>
      </c>
      <c r="E27" s="96" t="s">
        <v>30</v>
      </c>
      <c r="F27" s="174"/>
      <c r="G27" s="175"/>
      <c r="H27" s="177"/>
      <c r="I27" s="180"/>
      <c r="J27" s="181"/>
      <c r="K27" s="87"/>
      <c r="L27" s="87"/>
    </row>
    <row r="28" spans="2:13" ht="15.6" x14ac:dyDescent="0.3">
      <c r="B28" s="382" t="s">
        <v>195</v>
      </c>
      <c r="C28" s="382"/>
      <c r="D28" s="96" t="s">
        <v>55</v>
      </c>
      <c r="E28" s="96" t="s">
        <v>30</v>
      </c>
      <c r="F28" s="174"/>
      <c r="G28" s="175"/>
      <c r="H28" s="177"/>
      <c r="I28" s="180"/>
      <c r="J28" s="181"/>
      <c r="K28" s="87"/>
      <c r="L28" s="87"/>
    </row>
    <row r="29" spans="2:13" ht="15.6" x14ac:dyDescent="0.3">
      <c r="B29" s="382" t="s">
        <v>196</v>
      </c>
      <c r="C29" s="382"/>
      <c r="D29" s="96" t="s">
        <v>55</v>
      </c>
      <c r="E29" s="96" t="s">
        <v>30</v>
      </c>
      <c r="F29" s="174"/>
      <c r="G29" s="175"/>
      <c r="H29" s="177"/>
      <c r="I29" s="180"/>
      <c r="J29" s="181"/>
      <c r="K29" s="87"/>
      <c r="L29" s="87"/>
    </row>
    <row r="30" spans="2:13" ht="15.6" x14ac:dyDescent="0.3">
      <c r="B30" s="382" t="s">
        <v>192</v>
      </c>
      <c r="C30" s="382"/>
      <c r="D30" s="96" t="s">
        <v>55</v>
      </c>
      <c r="E30" s="96"/>
      <c r="F30" s="174"/>
      <c r="G30" s="175"/>
      <c r="H30" s="177"/>
      <c r="I30" s="180"/>
      <c r="J30" s="181"/>
      <c r="K30" s="87"/>
      <c r="L30" s="87"/>
    </row>
    <row r="31" spans="2:13" ht="15.6" x14ac:dyDescent="0.3">
      <c r="B31" s="408" t="s">
        <v>32</v>
      </c>
      <c r="C31" s="408"/>
      <c r="D31" s="96" t="s">
        <v>55</v>
      </c>
      <c r="E31" s="96" t="s">
        <v>30</v>
      </c>
      <c r="F31" s="174" t="s">
        <v>410</v>
      </c>
      <c r="G31" s="175"/>
      <c r="H31" s="177" t="s">
        <v>410</v>
      </c>
      <c r="I31" s="180" t="s">
        <v>410</v>
      </c>
      <c r="J31" s="181" t="s">
        <v>409</v>
      </c>
      <c r="K31" s="87"/>
      <c r="L31" s="87"/>
    </row>
    <row r="32" spans="2:13" ht="15.6" x14ac:dyDescent="0.3">
      <c r="B32" s="407" t="s">
        <v>199</v>
      </c>
      <c r="C32" s="407"/>
      <c r="D32" s="96"/>
      <c r="E32" s="96"/>
      <c r="F32" s="174"/>
      <c r="G32" s="175"/>
      <c r="H32" s="177"/>
      <c r="I32" s="180"/>
      <c r="J32" s="181"/>
      <c r="K32" s="87"/>
      <c r="L32" s="87"/>
    </row>
    <row r="33" spans="2:12" ht="15.6" x14ac:dyDescent="0.3">
      <c r="B33" s="382" t="s">
        <v>190</v>
      </c>
      <c r="C33" s="382"/>
      <c r="D33" s="96"/>
      <c r="E33" s="96"/>
      <c r="F33" s="174" t="s">
        <v>410</v>
      </c>
      <c r="G33" s="175"/>
      <c r="H33" s="177" t="s">
        <v>410</v>
      </c>
      <c r="I33" s="180" t="s">
        <v>410</v>
      </c>
      <c r="J33" s="181"/>
      <c r="K33" s="87"/>
      <c r="L33" s="87"/>
    </row>
    <row r="34" spans="2:12" ht="15.6" x14ac:dyDescent="0.3">
      <c r="B34" s="382" t="s">
        <v>191</v>
      </c>
      <c r="C34" s="382"/>
      <c r="D34" s="96"/>
      <c r="E34" s="96"/>
      <c r="F34" s="174" t="s">
        <v>410</v>
      </c>
      <c r="G34" s="175"/>
      <c r="H34" s="177" t="s">
        <v>410</v>
      </c>
      <c r="I34" s="180" t="s">
        <v>410</v>
      </c>
      <c r="J34" s="181"/>
      <c r="K34" s="87"/>
      <c r="L34" s="87"/>
    </row>
    <row r="35" spans="2:12" ht="15.6" x14ac:dyDescent="0.3">
      <c r="B35" s="382" t="s">
        <v>193</v>
      </c>
      <c r="C35" s="382"/>
      <c r="D35" s="96"/>
      <c r="E35" s="96"/>
      <c r="F35" s="174" t="s">
        <v>410</v>
      </c>
      <c r="G35" s="175"/>
      <c r="H35" s="177" t="s">
        <v>18</v>
      </c>
      <c r="I35" s="180" t="s">
        <v>410</v>
      </c>
      <c r="J35" s="181" t="s">
        <v>411</v>
      </c>
      <c r="K35" s="87"/>
      <c r="L35" s="87"/>
    </row>
    <row r="36" spans="2:12" ht="15.6" x14ac:dyDescent="0.3">
      <c r="B36" s="382" t="s">
        <v>194</v>
      </c>
      <c r="C36" s="382"/>
      <c r="D36" s="96"/>
      <c r="E36" s="96"/>
      <c r="F36" s="174" t="s">
        <v>410</v>
      </c>
      <c r="G36" s="175"/>
      <c r="H36" s="177" t="s">
        <v>18</v>
      </c>
      <c r="I36" s="180" t="s">
        <v>410</v>
      </c>
      <c r="J36" s="181" t="s">
        <v>409</v>
      </c>
      <c r="K36" s="87"/>
      <c r="L36" s="87"/>
    </row>
    <row r="37" spans="2:12" ht="15.6" x14ac:dyDescent="0.3">
      <c r="B37" s="382" t="s">
        <v>201</v>
      </c>
      <c r="C37" s="382"/>
      <c r="D37" s="96" t="s">
        <v>202</v>
      </c>
      <c r="E37" s="96"/>
      <c r="F37" s="174"/>
      <c r="G37" s="175"/>
      <c r="H37" s="177"/>
      <c r="I37" s="180"/>
      <c r="J37" s="181"/>
      <c r="K37" s="87"/>
      <c r="L37" s="87"/>
    </row>
    <row r="38" spans="2:12" ht="15.6" x14ac:dyDescent="0.3">
      <c r="B38" s="382" t="s">
        <v>203</v>
      </c>
      <c r="C38" s="382"/>
      <c r="D38" s="96"/>
      <c r="E38" s="96"/>
      <c r="F38" s="174"/>
      <c r="G38" s="175"/>
      <c r="H38" s="177"/>
      <c r="I38" s="180"/>
      <c r="J38" s="181"/>
      <c r="K38" s="87"/>
      <c r="L38" s="87"/>
    </row>
    <row r="39" spans="2:12" ht="36.75" customHeight="1" x14ac:dyDescent="0.3">
      <c r="B39" s="376" t="s">
        <v>237</v>
      </c>
      <c r="C39" s="376"/>
      <c r="D39" s="376"/>
      <c r="E39" s="376"/>
      <c r="F39" s="376"/>
      <c r="G39" s="376"/>
      <c r="H39" s="376"/>
      <c r="I39" s="376"/>
      <c r="J39" s="376"/>
      <c r="K39" s="87"/>
      <c r="L39" s="87"/>
    </row>
    <row r="40" spans="2:12" ht="15.6" x14ac:dyDescent="0.3">
      <c r="B40" s="87"/>
      <c r="C40" s="87"/>
      <c r="D40" s="87"/>
      <c r="E40" s="87"/>
      <c r="F40" s="87"/>
      <c r="G40" s="87"/>
      <c r="H40" s="87"/>
      <c r="I40" s="87"/>
      <c r="J40" s="87"/>
      <c r="K40" s="87"/>
      <c r="L40" s="87"/>
    </row>
    <row r="41" spans="2:12" ht="35.1" customHeight="1" x14ac:dyDescent="0.3">
      <c r="B41" s="409" t="s">
        <v>360</v>
      </c>
      <c r="C41" s="409"/>
      <c r="D41" s="409"/>
      <c r="E41" s="409"/>
      <c r="F41" s="409"/>
      <c r="G41" s="409"/>
      <c r="H41" s="409"/>
      <c r="I41" s="409"/>
      <c r="J41" s="409"/>
      <c r="K41" s="409"/>
      <c r="L41" s="409"/>
    </row>
    <row r="42" spans="2:12" ht="32.25" customHeight="1" x14ac:dyDescent="0.3">
      <c r="B42" s="386"/>
      <c r="C42" s="386"/>
      <c r="D42" s="386"/>
      <c r="E42" s="386"/>
      <c r="F42" s="386"/>
      <c r="G42" s="386"/>
      <c r="H42" s="386"/>
      <c r="I42" s="386"/>
      <c r="J42" s="386"/>
      <c r="K42" s="386"/>
      <c r="L42" s="386"/>
    </row>
    <row r="43" spans="2:12" ht="15.6" x14ac:dyDescent="0.3">
      <c r="B43" s="91"/>
      <c r="C43" s="91"/>
      <c r="D43" s="91"/>
      <c r="E43" s="91"/>
      <c r="F43" s="91"/>
      <c r="G43" s="91"/>
      <c r="H43" s="91"/>
      <c r="I43" s="91"/>
      <c r="J43" s="91"/>
      <c r="K43" s="91"/>
      <c r="L43" s="91"/>
    </row>
    <row r="44" spans="2:12" ht="50.1" customHeight="1" x14ac:dyDescent="0.3">
      <c r="B44" s="409" t="s">
        <v>252</v>
      </c>
      <c r="C44" s="409"/>
      <c r="D44" s="409"/>
      <c r="E44" s="409"/>
      <c r="F44" s="409"/>
      <c r="G44" s="409"/>
      <c r="H44" s="409"/>
      <c r="I44" s="409"/>
      <c r="J44" s="409"/>
      <c r="K44" s="409"/>
      <c r="L44" s="409"/>
    </row>
    <row r="45" spans="2:12" ht="45.75" customHeight="1" x14ac:dyDescent="0.3">
      <c r="B45" s="386" t="s">
        <v>14</v>
      </c>
      <c r="C45" s="386"/>
      <c r="D45" s="386"/>
      <c r="E45" s="386"/>
      <c r="F45" s="386"/>
      <c r="G45" s="386"/>
      <c r="H45" s="386"/>
      <c r="I45" s="386"/>
      <c r="J45" s="386"/>
      <c r="K45" s="386"/>
      <c r="L45" s="386"/>
    </row>
    <row r="46" spans="2:12" ht="15.6" x14ac:dyDescent="0.3">
      <c r="B46" s="91"/>
      <c r="C46" s="91"/>
      <c r="D46" s="91"/>
      <c r="E46" s="91"/>
      <c r="F46" s="91"/>
      <c r="G46" s="91"/>
      <c r="H46" s="91"/>
      <c r="I46" s="91"/>
      <c r="J46" s="91"/>
      <c r="K46" s="91"/>
      <c r="L46" s="91"/>
    </row>
    <row r="47" spans="2:12" ht="50.1" customHeight="1" x14ac:dyDescent="0.3">
      <c r="B47" s="409" t="s">
        <v>253</v>
      </c>
      <c r="C47" s="409"/>
      <c r="D47" s="409"/>
      <c r="E47" s="409"/>
      <c r="F47" s="409"/>
      <c r="G47" s="409"/>
      <c r="H47" s="409"/>
      <c r="I47" s="409"/>
      <c r="J47" s="409"/>
      <c r="K47" s="409"/>
      <c r="L47" s="409"/>
    </row>
    <row r="48" spans="2:12" ht="26.25" customHeight="1" x14ac:dyDescent="0.3">
      <c r="B48" s="386" t="s">
        <v>15</v>
      </c>
      <c r="C48" s="386"/>
      <c r="D48" s="386"/>
      <c r="E48" s="386"/>
      <c r="F48" s="386"/>
      <c r="G48" s="386"/>
      <c r="H48" s="386"/>
      <c r="I48" s="386"/>
      <c r="J48" s="386"/>
      <c r="K48" s="386"/>
      <c r="L48" s="386"/>
    </row>
    <row r="49" spans="2:14" ht="15.6" x14ac:dyDescent="0.3">
      <c r="B49" s="97"/>
      <c r="C49" s="97"/>
      <c r="D49" s="97"/>
      <c r="E49" s="97"/>
      <c r="F49" s="97"/>
      <c r="G49" s="97"/>
      <c r="H49" s="97"/>
      <c r="I49" s="98"/>
      <c r="J49" s="91"/>
      <c r="K49" s="91"/>
      <c r="L49" s="91"/>
    </row>
    <row r="50" spans="2:14" ht="35.1" customHeight="1" x14ac:dyDescent="0.3">
      <c r="B50" s="409" t="s">
        <v>361</v>
      </c>
      <c r="C50" s="409"/>
      <c r="D50" s="409"/>
      <c r="E50" s="409"/>
      <c r="F50" s="409"/>
      <c r="G50" s="409"/>
      <c r="H50" s="409"/>
      <c r="I50" s="409"/>
      <c r="J50" s="409"/>
      <c r="K50" s="409"/>
      <c r="L50" s="409"/>
    </row>
    <row r="51" spans="2:14" ht="29.25" customHeight="1" x14ac:dyDescent="0.3">
      <c r="B51" s="386"/>
      <c r="C51" s="386"/>
      <c r="D51" s="386"/>
      <c r="E51" s="386"/>
      <c r="F51" s="386"/>
      <c r="G51" s="386"/>
      <c r="H51" s="386"/>
      <c r="I51" s="386"/>
      <c r="J51" s="386"/>
      <c r="K51" s="386"/>
      <c r="L51" s="386"/>
    </row>
    <row r="52" spans="2:14" ht="15.6" x14ac:dyDescent="0.3">
      <c r="B52" s="91"/>
      <c r="C52" s="91"/>
      <c r="D52" s="91"/>
      <c r="E52" s="91"/>
      <c r="F52" s="91"/>
      <c r="G52" s="91"/>
      <c r="H52" s="91"/>
      <c r="I52" s="91"/>
      <c r="J52" s="91"/>
      <c r="K52" s="91"/>
      <c r="L52" s="91"/>
    </row>
    <row r="53" spans="2:14" ht="50.1" customHeight="1" x14ac:dyDescent="0.3">
      <c r="B53" s="409" t="s">
        <v>362</v>
      </c>
      <c r="C53" s="409"/>
      <c r="D53" s="409"/>
      <c r="E53" s="409"/>
      <c r="F53" s="409"/>
      <c r="G53" s="409"/>
      <c r="H53" s="409"/>
      <c r="I53" s="409"/>
      <c r="J53" s="409"/>
      <c r="K53" s="409"/>
      <c r="L53" s="409"/>
    </row>
    <row r="54" spans="2:14" ht="36.75" customHeight="1" x14ac:dyDescent="0.3">
      <c r="B54" s="386"/>
      <c r="C54" s="386"/>
      <c r="D54" s="386"/>
      <c r="E54" s="386"/>
      <c r="F54" s="386"/>
      <c r="G54" s="386"/>
      <c r="H54" s="386"/>
      <c r="I54" s="386"/>
      <c r="J54" s="386"/>
      <c r="K54" s="386"/>
      <c r="L54" s="386"/>
    </row>
    <row r="55" spans="2:14" ht="15.6" x14ac:dyDescent="0.3">
      <c r="B55" s="87"/>
      <c r="C55" s="87"/>
      <c r="D55" s="87"/>
      <c r="E55" s="87"/>
      <c r="F55" s="87"/>
      <c r="G55" s="87"/>
      <c r="H55" s="87"/>
      <c r="I55" s="87"/>
      <c r="J55" s="87"/>
      <c r="K55" s="87"/>
      <c r="L55" s="87"/>
    </row>
    <row r="56" spans="2:14" ht="35.1" customHeight="1" x14ac:dyDescent="0.3">
      <c r="B56" s="409" t="s">
        <v>363</v>
      </c>
      <c r="C56" s="409"/>
      <c r="D56" s="409"/>
      <c r="E56" s="409"/>
      <c r="F56" s="409"/>
      <c r="G56" s="409"/>
      <c r="H56" s="409"/>
      <c r="I56" s="409"/>
      <c r="J56" s="409"/>
      <c r="K56" s="409"/>
      <c r="L56" s="409"/>
    </row>
    <row r="57" spans="2:14" ht="33.75" customHeight="1" x14ac:dyDescent="0.3">
      <c r="B57" s="386" t="s">
        <v>414</v>
      </c>
      <c r="C57" s="386"/>
      <c r="D57" s="386"/>
      <c r="E57" s="386"/>
      <c r="F57" s="386"/>
      <c r="G57" s="386"/>
      <c r="H57" s="386"/>
      <c r="I57" s="386"/>
      <c r="J57" s="386"/>
      <c r="K57" s="386"/>
      <c r="L57" s="386"/>
    </row>
    <row r="58" spans="2:14" ht="15.6" x14ac:dyDescent="0.3">
      <c r="B58" s="87"/>
      <c r="C58" s="87"/>
      <c r="D58" s="87"/>
      <c r="E58" s="87"/>
      <c r="F58" s="87"/>
      <c r="G58" s="87"/>
      <c r="H58" s="87"/>
      <c r="I58" s="87"/>
      <c r="J58" s="87"/>
      <c r="K58" s="87"/>
      <c r="L58" s="87"/>
    </row>
    <row r="59" spans="2:14" ht="15" customHeight="1" x14ac:dyDescent="0.3">
      <c r="B59" s="410" t="s">
        <v>254</v>
      </c>
      <c r="C59" s="410"/>
      <c r="D59" s="410"/>
      <c r="E59" s="410"/>
      <c r="F59" s="410"/>
      <c r="G59" s="410"/>
      <c r="H59" s="410"/>
      <c r="I59" s="410"/>
      <c r="J59" s="410"/>
      <c r="K59" s="410"/>
      <c r="L59" s="410"/>
      <c r="M59" s="23"/>
      <c r="N59" s="23"/>
    </row>
    <row r="60" spans="2:14" ht="33" customHeight="1" x14ac:dyDescent="0.3">
      <c r="B60" s="411"/>
      <c r="C60" s="411"/>
      <c r="D60" s="411"/>
      <c r="E60" s="411"/>
      <c r="F60" s="411"/>
      <c r="G60" s="411"/>
      <c r="H60" s="411"/>
      <c r="I60" s="411"/>
      <c r="J60" s="411"/>
      <c r="K60" s="411"/>
      <c r="L60" s="411"/>
      <c r="M60" s="23"/>
      <c r="N60" s="23"/>
    </row>
    <row r="61" spans="2:14" x14ac:dyDescent="0.3">
      <c r="B61" s="77"/>
      <c r="C61" s="77"/>
      <c r="D61" s="77"/>
      <c r="E61" s="77"/>
      <c r="F61" s="77"/>
      <c r="G61" s="77"/>
      <c r="H61" s="77"/>
      <c r="I61" s="77"/>
      <c r="J61" s="77"/>
      <c r="K61" s="77"/>
      <c r="L61" s="77"/>
      <c r="M61" s="77"/>
      <c r="N61" s="77"/>
    </row>
  </sheetData>
  <mergeCells count="59">
    <mergeCell ref="B41:L41"/>
    <mergeCell ref="B42:L42"/>
    <mergeCell ref="B44:L44"/>
    <mergeCell ref="B45:L45"/>
    <mergeCell ref="B47:L47"/>
    <mergeCell ref="B56:L56"/>
    <mergeCell ref="B57:L57"/>
    <mergeCell ref="B59:L59"/>
    <mergeCell ref="B60:L60"/>
    <mergeCell ref="B48:L48"/>
    <mergeCell ref="B50:L50"/>
    <mergeCell ref="B51:L51"/>
    <mergeCell ref="B53:L53"/>
    <mergeCell ref="B54:L54"/>
    <mergeCell ref="B36:C36"/>
    <mergeCell ref="B37:C37"/>
    <mergeCell ref="B38:C38"/>
    <mergeCell ref="B30:C30"/>
    <mergeCell ref="B31:C31"/>
    <mergeCell ref="B32:C32"/>
    <mergeCell ref="B33:C33"/>
    <mergeCell ref="B34:C34"/>
    <mergeCell ref="B35:C35"/>
    <mergeCell ref="F22:G22"/>
    <mergeCell ref="B22:C23"/>
    <mergeCell ref="B24:C24"/>
    <mergeCell ref="B25:C25"/>
    <mergeCell ref="B26:C26"/>
    <mergeCell ref="H8:I8"/>
    <mergeCell ref="C8:F8"/>
    <mergeCell ref="B13:D13"/>
    <mergeCell ref="B1:L1"/>
    <mergeCell ref="B2:L2"/>
    <mergeCell ref="A10:B10"/>
    <mergeCell ref="C6:F6"/>
    <mergeCell ref="J6:K6"/>
    <mergeCell ref="I7:J7"/>
    <mergeCell ref="J4:K4"/>
    <mergeCell ref="I12:I13"/>
    <mergeCell ref="J12:J13"/>
    <mergeCell ref="K12:K13"/>
    <mergeCell ref="J10:K10"/>
    <mergeCell ref="H10:I10"/>
    <mergeCell ref="J22:J23"/>
    <mergeCell ref="B39:J39"/>
    <mergeCell ref="B21:J21"/>
    <mergeCell ref="C10:D10"/>
    <mergeCell ref="C4:F4"/>
    <mergeCell ref="H22:I22"/>
    <mergeCell ref="B27:C27"/>
    <mergeCell ref="B16:D16"/>
    <mergeCell ref="B17:L17"/>
    <mergeCell ref="B18:L19"/>
    <mergeCell ref="B29:C29"/>
    <mergeCell ref="B28:C28"/>
    <mergeCell ref="D22:D23"/>
    <mergeCell ref="E22:E23"/>
    <mergeCell ref="I15:J15"/>
    <mergeCell ref="J8:K8"/>
  </mergeCells>
  <printOptions horizontalCentered="1"/>
  <pageMargins left="0.5" right="0.5" top="0.5" bottom="0.5" header="0.3" footer="0.3"/>
  <pageSetup scale="53" orientation="portrait" r:id="rId1"/>
  <headerFooter>
    <oddFooter>&amp;C&amp;P</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 lists'!$C$8:$C$10</xm:f>
          </x14:formula1>
          <xm:sqref>J4:K4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29"/>
  <sheetViews>
    <sheetView topLeftCell="A26" zoomScale="85" zoomScaleNormal="85" zoomScalePageLayoutView="55" workbookViewId="0">
      <selection activeCell="J27" sqref="J27:K51"/>
    </sheetView>
  </sheetViews>
  <sheetFormatPr defaultColWidth="9.109375" defaultRowHeight="13.8" x14ac:dyDescent="0.3"/>
  <cols>
    <col min="1" max="1" width="9.44140625" style="39" customWidth="1"/>
    <col min="2" max="2" width="8.33203125" style="39" customWidth="1"/>
    <col min="3" max="3" width="21.44140625" style="43" customWidth="1"/>
    <col min="4" max="4" width="7.44140625" style="39" customWidth="1"/>
    <col min="5" max="5" width="9" style="39" customWidth="1"/>
    <col min="6" max="7" width="6.6640625" style="39" customWidth="1"/>
    <col min="8" max="8" width="7.5546875" style="39" customWidth="1"/>
    <col min="9" max="9" width="8" style="39" customWidth="1"/>
    <col min="10" max="10" width="14.5546875" style="39" customWidth="1"/>
    <col min="11" max="11" width="16.88671875" style="39" customWidth="1"/>
    <col min="12" max="12" width="10.109375" style="39" customWidth="1"/>
    <col min="13" max="18" width="6.6640625" style="39" customWidth="1"/>
    <col min="19" max="19" width="9" style="39" customWidth="1"/>
    <col min="20" max="21" width="6.6640625" style="39" customWidth="1"/>
    <col min="22" max="22" width="9" style="39" customWidth="1"/>
    <col min="23" max="23" width="8.6640625" style="39" customWidth="1"/>
    <col min="24" max="27" width="6.6640625" style="39" customWidth="1"/>
    <col min="28" max="28" width="12" style="39" customWidth="1"/>
    <col min="29" max="29" width="9.109375" style="39"/>
    <col min="30" max="30" width="8.44140625" style="39" customWidth="1"/>
    <col min="31" max="31" width="18.109375" style="39" customWidth="1"/>
    <col min="32" max="32" width="17.44140625" style="39" customWidth="1"/>
    <col min="33" max="33" width="9.33203125" style="39" customWidth="1"/>
    <col min="34" max="34" width="14.33203125" style="39" customWidth="1"/>
    <col min="35" max="49" width="7.33203125" style="39" customWidth="1"/>
    <col min="50" max="51" width="9.109375" style="39"/>
    <col min="52" max="52" width="15.44140625" style="39" customWidth="1"/>
    <col min="53" max="53" width="16.88671875" style="39" customWidth="1"/>
    <col min="54" max="54" width="17.109375" style="39" customWidth="1"/>
    <col min="55" max="55" width="16.6640625" style="39" customWidth="1"/>
    <col min="56" max="16384" width="9.109375" style="39"/>
  </cols>
  <sheetData>
    <row r="1" spans="1:23" s="19" customFormat="1" ht="30" customHeight="1" x14ac:dyDescent="0.3">
      <c r="C1" s="264" t="str">
        <f>CONCATENATE('Cover Page'!B1:L1," ", 'Cover Page'!B2:L2," - INSTREAM")</f>
        <v xml:space="preserve">  - INSTREAM</v>
      </c>
      <c r="D1" s="56"/>
      <c r="E1" s="56"/>
      <c r="F1" s="56"/>
      <c r="G1" s="56"/>
      <c r="H1" s="56"/>
      <c r="L1" s="40"/>
      <c r="M1" s="40"/>
      <c r="N1" s="40"/>
      <c r="O1" s="40"/>
      <c r="P1" s="40"/>
      <c r="Q1" s="40"/>
      <c r="R1" s="40"/>
      <c r="S1" s="40"/>
      <c r="T1" s="167"/>
      <c r="U1" s="40"/>
      <c r="V1" s="21"/>
      <c r="W1" s="21"/>
    </row>
    <row r="2" spans="1:23" ht="15.6" x14ac:dyDescent="0.3">
      <c r="C2" s="26"/>
      <c r="D2" s="26"/>
      <c r="E2" s="26"/>
      <c r="F2" s="26"/>
      <c r="G2" s="42"/>
      <c r="H2" s="42"/>
      <c r="I2" s="26"/>
      <c r="J2" s="26"/>
      <c r="K2" s="30"/>
      <c r="L2" s="30"/>
      <c r="M2" s="30"/>
      <c r="N2" s="30"/>
      <c r="O2" s="30"/>
      <c r="Q2" s="87"/>
      <c r="R2" s="58" t="s">
        <v>80</v>
      </c>
      <c r="S2" s="27"/>
      <c r="T2" s="30"/>
      <c r="U2" s="30"/>
      <c r="V2" s="25"/>
      <c r="W2" s="25"/>
    </row>
    <row r="3" spans="1:23" s="19" customFormat="1" ht="30" customHeight="1" x14ac:dyDescent="0.3">
      <c r="C3" s="412" t="str">
        <f>IF(Project_Site = "","", Project_Site)</f>
        <v>East Fork of South Fork Trask River</v>
      </c>
      <c r="D3" s="412"/>
      <c r="E3" s="412"/>
      <c r="F3" s="412"/>
      <c r="G3" s="412"/>
      <c r="H3" s="412"/>
      <c r="I3" s="412"/>
      <c r="J3" s="412"/>
      <c r="Q3" s="100"/>
      <c r="R3" s="58" t="s">
        <v>159</v>
      </c>
      <c r="S3" s="28"/>
    </row>
    <row r="4" spans="1:23" s="19" customFormat="1" x14ac:dyDescent="0.3">
      <c r="C4" s="36"/>
      <c r="D4" s="36"/>
    </row>
    <row r="5" spans="1:23" s="19" customFormat="1" x14ac:dyDescent="0.3">
      <c r="C5" s="36"/>
      <c r="D5" s="36"/>
      <c r="F5" s="36"/>
      <c r="G5" s="36"/>
      <c r="I5" s="35"/>
    </row>
    <row r="6" spans="1:23" s="19" customFormat="1" ht="24.9" customHeight="1" x14ac:dyDescent="0.3">
      <c r="C6" s="99" t="s">
        <v>233</v>
      </c>
      <c r="D6" s="414" t="s">
        <v>223</v>
      </c>
      <c r="E6" s="415"/>
      <c r="F6" s="415"/>
      <c r="G6" s="415"/>
      <c r="H6" s="415"/>
      <c r="I6" s="415"/>
      <c r="J6" s="415"/>
      <c r="K6" s="415"/>
      <c r="L6" s="415"/>
      <c r="M6" s="415"/>
      <c r="N6" s="415"/>
      <c r="O6" s="415"/>
      <c r="P6" s="415"/>
      <c r="Q6" s="415"/>
      <c r="R6" s="415"/>
      <c r="S6" s="415"/>
      <c r="T6" s="416"/>
      <c r="U6" s="100"/>
      <c r="V6" s="100"/>
    </row>
    <row r="7" spans="1:23" s="42" customFormat="1" ht="15.6" x14ac:dyDescent="0.3">
      <c r="C7" s="101"/>
      <c r="D7" s="102"/>
      <c r="E7" s="102"/>
      <c r="F7" s="102"/>
      <c r="G7" s="102"/>
      <c r="H7" s="102"/>
      <c r="I7" s="103"/>
      <c r="J7" s="103"/>
      <c r="K7" s="103"/>
      <c r="L7" s="103"/>
      <c r="M7" s="103"/>
      <c r="N7" s="103"/>
      <c r="O7" s="103"/>
      <c r="P7" s="103"/>
      <c r="Q7" s="103"/>
      <c r="R7" s="103"/>
      <c r="S7" s="91"/>
      <c r="T7" s="91"/>
      <c r="U7" s="91"/>
      <c r="V7" s="91"/>
    </row>
    <row r="8" spans="1:23" s="19" customFormat="1" ht="56.25" customHeight="1" x14ac:dyDescent="0.3">
      <c r="C8" s="104" t="s">
        <v>60</v>
      </c>
      <c r="D8" s="417" t="s">
        <v>285</v>
      </c>
      <c r="E8" s="417"/>
      <c r="F8" s="417"/>
      <c r="G8" s="417"/>
      <c r="H8" s="417"/>
      <c r="I8" s="417"/>
      <c r="J8" s="417"/>
      <c r="K8" s="417"/>
      <c r="L8" s="417"/>
      <c r="M8" s="417"/>
      <c r="N8" s="417"/>
      <c r="O8" s="417"/>
      <c r="P8" s="417"/>
      <c r="Q8" s="417"/>
      <c r="R8" s="417"/>
      <c r="S8" s="430" t="s">
        <v>19</v>
      </c>
      <c r="T8" s="431"/>
      <c r="U8" s="100"/>
      <c r="V8" s="100"/>
    </row>
    <row r="9" spans="1:23" s="19" customFormat="1" ht="50.1" customHeight="1" x14ac:dyDescent="0.3">
      <c r="C9" s="105"/>
      <c r="D9" s="418" t="s">
        <v>232</v>
      </c>
      <c r="E9" s="418"/>
      <c r="F9" s="418"/>
      <c r="G9" s="418"/>
      <c r="H9" s="418"/>
      <c r="I9" s="418"/>
      <c r="J9" s="418"/>
      <c r="K9" s="418"/>
      <c r="L9" s="418"/>
      <c r="M9" s="418"/>
      <c r="N9" s="418"/>
      <c r="O9" s="418"/>
      <c r="P9" s="418"/>
      <c r="Q9" s="418"/>
      <c r="R9" s="418"/>
      <c r="S9" s="432" t="s">
        <v>261</v>
      </c>
      <c r="T9" s="433"/>
      <c r="U9" s="100"/>
      <c r="V9" s="100"/>
    </row>
    <row r="10" spans="1:23" s="70" customFormat="1" ht="15" customHeight="1" x14ac:dyDescent="0.3">
      <c r="A10" s="263"/>
      <c r="B10" s="269"/>
      <c r="C10" s="105"/>
      <c r="D10" s="444"/>
      <c r="E10" s="444"/>
      <c r="F10" s="444"/>
      <c r="G10" s="444"/>
      <c r="H10" s="444"/>
      <c r="I10" s="444"/>
      <c r="J10" s="444"/>
      <c r="K10" s="444"/>
      <c r="L10" s="444"/>
      <c r="M10" s="444"/>
      <c r="N10" s="444"/>
      <c r="O10" s="444"/>
      <c r="P10" s="444"/>
      <c r="Q10" s="101"/>
      <c r="R10" s="101"/>
      <c r="S10" s="102"/>
      <c r="T10" s="102"/>
      <c r="U10" s="102"/>
      <c r="V10" s="102"/>
      <c r="W10" s="72"/>
    </row>
    <row r="11" spans="1:23" s="16" customFormat="1" ht="16.5" customHeight="1" x14ac:dyDescent="0.3">
      <c r="C11" s="105"/>
      <c r="D11" s="421" t="s">
        <v>255</v>
      </c>
      <c r="E11" s="422"/>
      <c r="F11" s="422"/>
      <c r="G11" s="422"/>
      <c r="H11" s="422"/>
      <c r="I11" s="422"/>
      <c r="J11" s="422"/>
      <c r="K11" s="422"/>
      <c r="L11" s="422"/>
      <c r="M11" s="422"/>
      <c r="N11" s="422"/>
      <c r="O11" s="422"/>
      <c r="P11" s="422"/>
      <c r="Q11" s="422"/>
      <c r="R11" s="423"/>
      <c r="S11" s="100"/>
      <c r="T11" s="100"/>
      <c r="U11" s="100"/>
      <c r="V11" s="100"/>
      <c r="W11" s="19"/>
    </row>
    <row r="12" spans="1:23" s="16" customFormat="1" ht="27" customHeight="1" x14ac:dyDescent="0.3">
      <c r="C12" s="105"/>
      <c r="D12" s="424" t="s">
        <v>413</v>
      </c>
      <c r="E12" s="425"/>
      <c r="F12" s="425"/>
      <c r="G12" s="425"/>
      <c r="H12" s="425"/>
      <c r="I12" s="425"/>
      <c r="J12" s="425"/>
      <c r="K12" s="425"/>
      <c r="L12" s="425"/>
      <c r="M12" s="425"/>
      <c r="N12" s="425"/>
      <c r="O12" s="425"/>
      <c r="P12" s="425"/>
      <c r="Q12" s="425"/>
      <c r="R12" s="426"/>
      <c r="S12" s="100"/>
      <c r="T12" s="100"/>
      <c r="U12" s="100"/>
      <c r="V12" s="100"/>
      <c r="W12" s="19"/>
    </row>
    <row r="13" spans="1:23" s="42" customFormat="1" ht="15.6" x14ac:dyDescent="0.3">
      <c r="C13" s="101"/>
      <c r="D13" s="102"/>
      <c r="E13" s="102"/>
      <c r="F13" s="102"/>
      <c r="G13" s="102"/>
      <c r="H13" s="102"/>
      <c r="I13" s="103"/>
      <c r="J13" s="103"/>
      <c r="K13" s="103"/>
      <c r="L13" s="103"/>
      <c r="M13" s="103"/>
      <c r="N13" s="103"/>
      <c r="O13" s="103"/>
      <c r="P13" s="103"/>
      <c r="Q13" s="103"/>
      <c r="R13" s="103"/>
      <c r="S13" s="91"/>
      <c r="T13" s="91"/>
      <c r="U13" s="91"/>
      <c r="V13" s="91"/>
    </row>
    <row r="14" spans="1:23" ht="45.75" customHeight="1" x14ac:dyDescent="0.3">
      <c r="C14" s="104" t="s">
        <v>70</v>
      </c>
      <c r="D14" s="419" t="s">
        <v>286</v>
      </c>
      <c r="E14" s="419"/>
      <c r="F14" s="419"/>
      <c r="G14" s="419"/>
      <c r="H14" s="419"/>
      <c r="I14" s="419"/>
      <c r="J14" s="419"/>
      <c r="K14" s="419"/>
      <c r="L14" s="419"/>
      <c r="M14" s="419"/>
      <c r="N14" s="419"/>
      <c r="O14" s="419"/>
      <c r="P14" s="419"/>
      <c r="Q14" s="419"/>
      <c r="R14" s="419"/>
      <c r="S14" s="106" t="s">
        <v>79</v>
      </c>
      <c r="T14" s="87"/>
      <c r="U14" s="87"/>
      <c r="V14" s="87"/>
    </row>
    <row r="15" spans="1:23" ht="22.5" customHeight="1" x14ac:dyDescent="0.3">
      <c r="C15" s="107"/>
      <c r="D15" s="420" t="s">
        <v>287</v>
      </c>
      <c r="E15" s="420"/>
      <c r="F15" s="420"/>
      <c r="G15" s="420"/>
      <c r="H15" s="420"/>
      <c r="I15" s="420"/>
      <c r="J15" s="420"/>
      <c r="K15" s="420"/>
      <c r="L15" s="420"/>
      <c r="M15" s="420"/>
      <c r="N15" s="420"/>
      <c r="O15" s="420"/>
      <c r="P15" s="420"/>
      <c r="Q15" s="420"/>
      <c r="R15" s="420"/>
      <c r="S15" s="108">
        <v>21.7</v>
      </c>
      <c r="T15" s="87"/>
      <c r="U15" s="87"/>
      <c r="V15" s="87"/>
    </row>
    <row r="16" spans="1:23" ht="15.6" x14ac:dyDescent="0.3">
      <c r="C16" s="105"/>
      <c r="D16" s="109"/>
      <c r="E16" s="109"/>
      <c r="F16" s="109"/>
      <c r="G16" s="109"/>
      <c r="H16" s="109"/>
      <c r="I16" s="109"/>
      <c r="J16" s="110"/>
      <c r="K16" s="110"/>
      <c r="L16" s="110"/>
      <c r="M16" s="110"/>
      <c r="N16" s="110"/>
      <c r="O16" s="110"/>
      <c r="P16" s="110"/>
      <c r="Q16" s="110"/>
      <c r="R16" s="110"/>
      <c r="S16" s="87"/>
      <c r="T16" s="87"/>
      <c r="U16" s="87"/>
      <c r="V16" s="87"/>
    </row>
    <row r="17" spans="1:54" ht="84" customHeight="1" x14ac:dyDescent="0.3">
      <c r="C17" s="185" t="s">
        <v>84</v>
      </c>
      <c r="D17" s="420" t="s">
        <v>284</v>
      </c>
      <c r="E17" s="419"/>
      <c r="F17" s="419"/>
      <c r="G17" s="419"/>
      <c r="H17" s="419"/>
      <c r="I17" s="419"/>
      <c r="J17" s="419"/>
      <c r="K17" s="419"/>
      <c r="L17" s="419"/>
      <c r="M17" s="419"/>
      <c r="N17" s="419"/>
      <c r="O17" s="419"/>
      <c r="P17" s="419"/>
      <c r="Q17" s="419"/>
      <c r="R17" s="419"/>
      <c r="S17" s="106" t="s">
        <v>79</v>
      </c>
      <c r="T17" s="111" t="s">
        <v>41</v>
      </c>
      <c r="U17" s="87"/>
      <c r="V17" s="331" t="s">
        <v>415</v>
      </c>
      <c r="W17" s="332">
        <v>1.75</v>
      </c>
    </row>
    <row r="18" spans="1:54" ht="20.25" customHeight="1" x14ac:dyDescent="0.3">
      <c r="C18" s="101"/>
      <c r="D18" s="420" t="s">
        <v>78</v>
      </c>
      <c r="E18" s="420"/>
      <c r="F18" s="420"/>
      <c r="G18" s="420"/>
      <c r="H18" s="420"/>
      <c r="I18" s="420"/>
      <c r="J18" s="420"/>
      <c r="K18" s="420"/>
      <c r="L18" s="420"/>
      <c r="M18" s="420"/>
      <c r="N18" s="420"/>
      <c r="O18" s="420"/>
      <c r="P18" s="420"/>
      <c r="Q18" s="420"/>
      <c r="R18" s="420"/>
      <c r="S18" s="108">
        <f>15.95</f>
        <v>15.95</v>
      </c>
      <c r="T18" s="262">
        <f>IF(lenHData="","",IF(TotMiles=0,0,IF(lenHData/TotMiles*100&gt;100,100,lenHData/TotMiles*100)))</f>
        <v>73.502304147465438</v>
      </c>
      <c r="U18" s="87"/>
      <c r="V18" s="333" t="s">
        <v>416</v>
      </c>
      <c r="W18" s="333">
        <v>14.2</v>
      </c>
    </row>
    <row r="19" spans="1:54" ht="16.5" customHeight="1" x14ac:dyDescent="0.3">
      <c r="C19" s="105"/>
      <c r="D19" s="109"/>
      <c r="E19" s="109"/>
      <c r="F19" s="112"/>
      <c r="G19" s="112"/>
      <c r="H19" s="112"/>
      <c r="I19" s="112"/>
      <c r="J19" s="110"/>
      <c r="K19" s="110"/>
      <c r="L19" s="110"/>
      <c r="M19" s="110"/>
      <c r="N19" s="110"/>
      <c r="O19" s="110"/>
      <c r="P19" s="110"/>
      <c r="V19" s="87"/>
      <c r="W19" s="333">
        <f>SUM(W17:W18)</f>
        <v>15.95</v>
      </c>
    </row>
    <row r="20" spans="1:54" ht="72.75" customHeight="1" x14ac:dyDescent="0.3">
      <c r="C20" s="186"/>
      <c r="D20" s="454" t="s">
        <v>288</v>
      </c>
      <c r="E20" s="454"/>
      <c r="F20" s="454"/>
      <c r="G20" s="454"/>
      <c r="H20" s="454"/>
      <c r="I20" s="454"/>
      <c r="J20" s="454"/>
      <c r="K20" s="454"/>
      <c r="L20" s="454"/>
      <c r="M20" s="454"/>
      <c r="N20" s="454"/>
      <c r="O20" s="454"/>
      <c r="P20" s="261"/>
      <c r="Q20" s="455" t="s">
        <v>399</v>
      </c>
      <c r="R20" s="455"/>
      <c r="S20" s="455"/>
      <c r="T20" s="455"/>
      <c r="U20" s="87"/>
      <c r="V20" s="456" t="s">
        <v>417</v>
      </c>
      <c r="W20" s="456"/>
      <c r="X20" s="456"/>
      <c r="Y20" s="456"/>
      <c r="Z20" s="456"/>
    </row>
    <row r="21" spans="1:54" ht="15.6" x14ac:dyDescent="0.3">
      <c r="C21" s="101"/>
      <c r="D21" s="109"/>
      <c r="E21" s="109"/>
      <c r="F21" s="109"/>
      <c r="G21" s="109"/>
      <c r="H21" s="109"/>
      <c r="I21" s="109"/>
      <c r="J21" s="110"/>
      <c r="K21" s="110"/>
      <c r="L21" s="110"/>
      <c r="M21" s="110"/>
      <c r="N21" s="110"/>
      <c r="O21" s="110"/>
      <c r="P21" s="110"/>
      <c r="Q21" s="110"/>
      <c r="R21" s="110"/>
      <c r="S21" s="87"/>
      <c r="T21" s="87"/>
      <c r="U21" s="87"/>
      <c r="V21" s="87"/>
    </row>
    <row r="22" spans="1:54" ht="90.75" customHeight="1" x14ac:dyDescent="0.3">
      <c r="C22" s="104" t="s">
        <v>69</v>
      </c>
      <c r="D22" s="419" t="s">
        <v>289</v>
      </c>
      <c r="E22" s="419"/>
      <c r="F22" s="419"/>
      <c r="G22" s="419"/>
      <c r="H22" s="419"/>
      <c r="I22" s="419"/>
      <c r="J22" s="419"/>
      <c r="K22" s="419"/>
      <c r="L22" s="419"/>
      <c r="M22" s="419"/>
      <c r="N22" s="419"/>
      <c r="O22" s="419"/>
      <c r="P22" s="419"/>
      <c r="Q22" s="419"/>
      <c r="R22" s="419"/>
      <c r="S22" s="419"/>
      <c r="T22" s="419"/>
      <c r="U22" s="87"/>
      <c r="V22" s="87"/>
    </row>
    <row r="23" spans="1:54" ht="12" customHeight="1" x14ac:dyDescent="0.3">
      <c r="C23" s="101"/>
      <c r="D23" s="109"/>
      <c r="E23" s="109"/>
      <c r="F23" s="113"/>
      <c r="G23" s="113"/>
      <c r="H23" s="113"/>
      <c r="I23" s="109"/>
      <c r="J23" s="109"/>
      <c r="K23" s="109"/>
      <c r="L23" s="109"/>
      <c r="M23" s="109"/>
      <c r="N23" s="109"/>
      <c r="O23" s="109"/>
      <c r="P23" s="109"/>
      <c r="Q23" s="109"/>
      <c r="R23" s="109"/>
      <c r="S23" s="87"/>
      <c r="T23" s="87"/>
      <c r="U23" s="87"/>
      <c r="V23" s="87"/>
    </row>
    <row r="24" spans="1:54" ht="27.75" customHeight="1" thickBot="1" x14ac:dyDescent="0.35">
      <c r="C24" s="427" t="s">
        <v>103</v>
      </c>
      <c r="D24" s="427" t="s">
        <v>79</v>
      </c>
      <c r="E24" s="457" t="s">
        <v>220</v>
      </c>
      <c r="F24" s="458"/>
      <c r="G24" s="458"/>
      <c r="H24" s="459"/>
      <c r="I24" s="457" t="s">
        <v>221</v>
      </c>
      <c r="J24" s="458"/>
      <c r="K24" s="458"/>
      <c r="L24" s="459"/>
      <c r="M24" s="463" t="s">
        <v>118</v>
      </c>
      <c r="N24" s="464"/>
      <c r="O24" s="464"/>
      <c r="P24" s="464"/>
      <c r="Q24" s="464"/>
      <c r="R24" s="464"/>
      <c r="S24" s="464"/>
      <c r="T24" s="464"/>
      <c r="U24" s="464"/>
      <c r="V24" s="464"/>
      <c r="W24" s="464"/>
      <c r="X24" s="464"/>
      <c r="Y24" s="464"/>
      <c r="Z24" s="464"/>
      <c r="AA24" s="465"/>
      <c r="AB24" s="44"/>
      <c r="AC24" s="44"/>
      <c r="AD24" s="44"/>
      <c r="AE24" s="44"/>
      <c r="AF24" s="44"/>
      <c r="AG24" s="44"/>
      <c r="AH24" s="45"/>
    </row>
    <row r="25" spans="1:54" ht="24" customHeight="1" x14ac:dyDescent="0.3">
      <c r="C25" s="428"/>
      <c r="D25" s="428"/>
      <c r="E25" s="438" t="s">
        <v>13</v>
      </c>
      <c r="F25" s="440" t="s">
        <v>11</v>
      </c>
      <c r="G25" s="438" t="s">
        <v>12</v>
      </c>
      <c r="H25" s="440" t="s">
        <v>440</v>
      </c>
      <c r="I25" s="442" t="s">
        <v>119</v>
      </c>
      <c r="J25" s="413" t="s">
        <v>234</v>
      </c>
      <c r="K25" s="413"/>
      <c r="L25" s="436" t="s">
        <v>256</v>
      </c>
      <c r="M25" s="445" t="s">
        <v>13</v>
      </c>
      <c r="N25" s="446"/>
      <c r="O25" s="447"/>
      <c r="P25" s="448" t="s">
        <v>11</v>
      </c>
      <c r="Q25" s="449"/>
      <c r="R25" s="449"/>
      <c r="S25" s="449"/>
      <c r="T25" s="450"/>
      <c r="U25" s="451" t="s">
        <v>12</v>
      </c>
      <c r="V25" s="452"/>
      <c r="W25" s="453"/>
      <c r="X25" s="460" t="s">
        <v>423</v>
      </c>
      <c r="Y25" s="461"/>
      <c r="Z25" s="461"/>
      <c r="AA25" s="462"/>
      <c r="AB25" s="44"/>
      <c r="AC25" s="44"/>
      <c r="AE25" s="44"/>
      <c r="AF25" s="44"/>
      <c r="AG25" s="44"/>
      <c r="AH25" s="44"/>
      <c r="AI25" s="44"/>
    </row>
    <row r="26" spans="1:54" ht="76.5" customHeight="1" x14ac:dyDescent="0.3">
      <c r="A26" s="302" t="s">
        <v>432</v>
      </c>
      <c r="B26" s="302" t="s">
        <v>433</v>
      </c>
      <c r="C26" s="429"/>
      <c r="D26" s="429"/>
      <c r="E26" s="439"/>
      <c r="F26" s="441"/>
      <c r="G26" s="439"/>
      <c r="H26" s="441"/>
      <c r="I26" s="429"/>
      <c r="J26" s="311" t="s">
        <v>235</v>
      </c>
      <c r="K26" s="311" t="s">
        <v>236</v>
      </c>
      <c r="L26" s="437"/>
      <c r="M26" s="319" t="s">
        <v>104</v>
      </c>
      <c r="N26" s="284" t="s">
        <v>105</v>
      </c>
      <c r="O26" s="320" t="s">
        <v>106</v>
      </c>
      <c r="P26" s="315" t="s">
        <v>107</v>
      </c>
      <c r="Q26" s="313" t="s">
        <v>108</v>
      </c>
      <c r="R26" s="313" t="s">
        <v>158</v>
      </c>
      <c r="S26" s="313" t="s">
        <v>155</v>
      </c>
      <c r="T26" s="316" t="s">
        <v>156</v>
      </c>
      <c r="U26" s="319" t="s">
        <v>110</v>
      </c>
      <c r="V26" s="284" t="s">
        <v>111</v>
      </c>
      <c r="W26" s="320" t="s">
        <v>112</v>
      </c>
      <c r="X26" s="315" t="s">
        <v>424</v>
      </c>
      <c r="Y26" s="313" t="s">
        <v>425</v>
      </c>
      <c r="Z26" s="313" t="s">
        <v>426</v>
      </c>
      <c r="AA26" s="316" t="s">
        <v>427</v>
      </c>
      <c r="AB26" s="321" t="s">
        <v>434</v>
      </c>
      <c r="AD26" s="443" t="s">
        <v>431</v>
      </c>
      <c r="AE26" s="443"/>
    </row>
    <row r="27" spans="1:54" ht="15" customHeight="1" x14ac:dyDescent="0.3">
      <c r="A27" s="343" t="s">
        <v>416</v>
      </c>
      <c r="B27" s="340">
        <v>1</v>
      </c>
      <c r="C27" s="339">
        <v>123577945380201</v>
      </c>
      <c r="D27" s="344">
        <v>0.54430800000000001</v>
      </c>
      <c r="E27" s="304"/>
      <c r="F27" s="304" t="s">
        <v>410</v>
      </c>
      <c r="G27" s="304" t="s">
        <v>410</v>
      </c>
      <c r="H27" s="304" t="s">
        <v>410</v>
      </c>
      <c r="I27" s="345">
        <v>1994</v>
      </c>
      <c r="J27" s="354">
        <v>3146</v>
      </c>
      <c r="K27" s="354">
        <v>356</v>
      </c>
      <c r="L27" s="352">
        <f t="shared" ref="L27:L56" si="0">IF(J27="","",(J27+K27))</f>
        <v>3502</v>
      </c>
      <c r="M27" s="317">
        <v>2</v>
      </c>
      <c r="N27" s="306">
        <v>2</v>
      </c>
      <c r="O27" s="318">
        <v>2</v>
      </c>
      <c r="P27" s="317">
        <v>2</v>
      </c>
      <c r="Q27" s="306">
        <v>2</v>
      </c>
      <c r="R27" s="306">
        <v>2</v>
      </c>
      <c r="S27" s="306">
        <v>2</v>
      </c>
      <c r="T27" s="318">
        <v>3</v>
      </c>
      <c r="U27" s="317">
        <v>2</v>
      </c>
      <c r="V27" s="306">
        <v>1</v>
      </c>
      <c r="W27" s="318">
        <v>1</v>
      </c>
      <c r="X27" s="317">
        <v>2</v>
      </c>
      <c r="Y27" s="306">
        <v>2</v>
      </c>
      <c r="Z27" s="306">
        <v>2</v>
      </c>
      <c r="AA27" s="318">
        <v>2</v>
      </c>
      <c r="AB27" s="314"/>
      <c r="AD27" s="308" t="s">
        <v>441</v>
      </c>
      <c r="AE27" s="308" t="s">
        <v>442</v>
      </c>
      <c r="AF27" s="308" t="s">
        <v>443</v>
      </c>
      <c r="AG27" s="302" t="s">
        <v>450</v>
      </c>
      <c r="AH27" s="302" t="s">
        <v>449</v>
      </c>
      <c r="AI27" s="308" t="s">
        <v>104</v>
      </c>
      <c r="AJ27" s="308" t="s">
        <v>105</v>
      </c>
      <c r="AK27" s="308" t="s">
        <v>106</v>
      </c>
      <c r="AL27" s="308" t="s">
        <v>107</v>
      </c>
      <c r="AM27" s="308" t="s">
        <v>108</v>
      </c>
      <c r="AN27" s="308" t="s">
        <v>158</v>
      </c>
      <c r="AO27" s="308" t="s">
        <v>155</v>
      </c>
      <c r="AP27" s="308" t="s">
        <v>156</v>
      </c>
      <c r="AQ27" s="308" t="s">
        <v>110</v>
      </c>
      <c r="AR27" s="308" t="s">
        <v>111</v>
      </c>
      <c r="AS27" s="308" t="s">
        <v>112</v>
      </c>
      <c r="AT27" s="308" t="s">
        <v>424</v>
      </c>
      <c r="AU27" s="308" t="s">
        <v>425</v>
      </c>
      <c r="AV27" s="308" t="s">
        <v>426</v>
      </c>
      <c r="AW27" s="308" t="s">
        <v>427</v>
      </c>
      <c r="AX27" s="302" t="s">
        <v>446</v>
      </c>
      <c r="AY27" s="302" t="s">
        <v>447</v>
      </c>
      <c r="AZ27" s="302" t="s">
        <v>448</v>
      </c>
      <c r="BA27" s="308" t="s">
        <v>444</v>
      </c>
      <c r="BB27" s="308" t="s">
        <v>445</v>
      </c>
    </row>
    <row r="28" spans="1:54" x14ac:dyDescent="0.3">
      <c r="A28" s="343" t="s">
        <v>416</v>
      </c>
      <c r="B28" s="340">
        <v>2</v>
      </c>
      <c r="C28" s="339">
        <v>123577945380202</v>
      </c>
      <c r="D28" s="344">
        <v>0.35971700000000001</v>
      </c>
      <c r="E28" s="304"/>
      <c r="F28" s="304" t="s">
        <v>410</v>
      </c>
      <c r="G28" s="304" t="s">
        <v>410</v>
      </c>
      <c r="H28" s="304" t="s">
        <v>410</v>
      </c>
      <c r="I28" s="345">
        <v>1994</v>
      </c>
      <c r="J28" s="354">
        <v>1752</v>
      </c>
      <c r="K28" s="354">
        <v>155</v>
      </c>
      <c r="L28" s="352">
        <f t="shared" si="0"/>
        <v>1907</v>
      </c>
      <c r="M28" s="317">
        <v>2</v>
      </c>
      <c r="N28" s="306">
        <v>1</v>
      </c>
      <c r="O28" s="318">
        <v>2</v>
      </c>
      <c r="P28" s="317">
        <v>3</v>
      </c>
      <c r="Q28" s="306">
        <v>2</v>
      </c>
      <c r="R28" s="306">
        <v>2</v>
      </c>
      <c r="S28" s="306">
        <v>2</v>
      </c>
      <c r="T28" s="318">
        <v>3</v>
      </c>
      <c r="U28" s="317">
        <v>2</v>
      </c>
      <c r="V28" s="306">
        <v>1</v>
      </c>
      <c r="W28" s="318">
        <v>1</v>
      </c>
      <c r="X28" s="317">
        <v>2</v>
      </c>
      <c r="Y28" s="306">
        <v>2</v>
      </c>
      <c r="Z28" s="306">
        <v>2</v>
      </c>
      <c r="AA28" s="318">
        <v>2</v>
      </c>
      <c r="AB28" s="314"/>
      <c r="AD28" s="308">
        <v>1</v>
      </c>
      <c r="AE28" s="308" t="s">
        <v>452</v>
      </c>
      <c r="AF28" s="328">
        <v>123577945380201</v>
      </c>
      <c r="AG28" s="337">
        <v>0.54430800000000001</v>
      </c>
      <c r="AH28" s="302">
        <v>1994</v>
      </c>
      <c r="AI28" s="308">
        <v>2</v>
      </c>
      <c r="AJ28" s="308">
        <v>2</v>
      </c>
      <c r="AK28" s="308">
        <v>2</v>
      </c>
      <c r="AL28" s="308">
        <v>2</v>
      </c>
      <c r="AM28" s="308">
        <v>2</v>
      </c>
      <c r="AN28" s="308">
        <v>2</v>
      </c>
      <c r="AO28" s="308">
        <v>2</v>
      </c>
      <c r="AP28" s="308">
        <v>3</v>
      </c>
      <c r="AQ28" s="308">
        <v>2</v>
      </c>
      <c r="AR28" s="308">
        <v>1</v>
      </c>
      <c r="AS28" s="308">
        <v>1</v>
      </c>
      <c r="AT28" s="308">
        <v>2</v>
      </c>
      <c r="AU28" s="308">
        <v>2</v>
      </c>
      <c r="AV28" s="308">
        <v>2</v>
      </c>
      <c r="AW28" s="308">
        <v>2</v>
      </c>
      <c r="AX28" s="302">
        <v>3146</v>
      </c>
      <c r="AY28" s="302">
        <v>356</v>
      </c>
      <c r="AZ28" s="302">
        <v>0</v>
      </c>
      <c r="BA28" s="308" t="s">
        <v>453</v>
      </c>
      <c r="BB28" s="334">
        <v>34556</v>
      </c>
    </row>
    <row r="29" spans="1:54" ht="15" customHeight="1" x14ac:dyDescent="0.3">
      <c r="A29" s="343" t="s">
        <v>416</v>
      </c>
      <c r="B29" s="340">
        <v>3</v>
      </c>
      <c r="C29" s="339">
        <v>123577945380203</v>
      </c>
      <c r="D29" s="344">
        <v>0.55461000000000005</v>
      </c>
      <c r="E29" s="304"/>
      <c r="F29" s="304" t="s">
        <v>410</v>
      </c>
      <c r="G29" s="304"/>
      <c r="H29" s="304" t="s">
        <v>410</v>
      </c>
      <c r="I29" s="345">
        <v>1994</v>
      </c>
      <c r="J29" s="354">
        <v>3589</v>
      </c>
      <c r="K29" s="354">
        <v>382</v>
      </c>
      <c r="L29" s="352">
        <f t="shared" si="0"/>
        <v>3971</v>
      </c>
      <c r="M29" s="317">
        <v>2</v>
      </c>
      <c r="N29" s="306">
        <v>1</v>
      </c>
      <c r="O29" s="318">
        <v>2</v>
      </c>
      <c r="P29" s="317">
        <v>3</v>
      </c>
      <c r="Q29" s="306">
        <v>2</v>
      </c>
      <c r="R29" s="306">
        <v>2</v>
      </c>
      <c r="S29" s="306">
        <v>2</v>
      </c>
      <c r="T29" s="318">
        <v>3</v>
      </c>
      <c r="U29" s="317">
        <v>2</v>
      </c>
      <c r="V29" s="306">
        <v>1</v>
      </c>
      <c r="W29" s="318">
        <v>1</v>
      </c>
      <c r="X29" s="317">
        <v>2</v>
      </c>
      <c r="Y29" s="306">
        <v>2</v>
      </c>
      <c r="Z29" s="306">
        <v>2</v>
      </c>
      <c r="AA29" s="318">
        <v>2</v>
      </c>
      <c r="AB29" s="314"/>
      <c r="AD29" s="308">
        <v>2</v>
      </c>
      <c r="AE29" s="308" t="s">
        <v>452</v>
      </c>
      <c r="AF29" s="328">
        <v>123577945380202</v>
      </c>
      <c r="AG29" s="337">
        <v>0.35971700000000001</v>
      </c>
      <c r="AH29" s="302">
        <v>1994</v>
      </c>
      <c r="AI29" s="308">
        <v>2</v>
      </c>
      <c r="AJ29" s="308">
        <v>1</v>
      </c>
      <c r="AK29" s="308">
        <v>2</v>
      </c>
      <c r="AL29" s="308">
        <v>3</v>
      </c>
      <c r="AM29" s="308">
        <v>2</v>
      </c>
      <c r="AN29" s="308">
        <v>2</v>
      </c>
      <c r="AO29" s="308">
        <v>2</v>
      </c>
      <c r="AP29" s="308">
        <v>3</v>
      </c>
      <c r="AQ29" s="308">
        <v>2</v>
      </c>
      <c r="AR29" s="308">
        <v>1</v>
      </c>
      <c r="AS29" s="308">
        <v>1</v>
      </c>
      <c r="AT29" s="308">
        <v>2</v>
      </c>
      <c r="AU29" s="308">
        <v>2</v>
      </c>
      <c r="AV29" s="308">
        <v>2</v>
      </c>
      <c r="AW29" s="308">
        <v>2</v>
      </c>
      <c r="AX29" s="302">
        <v>1752</v>
      </c>
      <c r="AY29" s="302">
        <v>155</v>
      </c>
      <c r="AZ29" s="302">
        <v>0</v>
      </c>
      <c r="BA29" s="308" t="s">
        <v>454</v>
      </c>
      <c r="BB29" s="334">
        <v>34557</v>
      </c>
    </row>
    <row r="30" spans="1:54" ht="15" customHeight="1" x14ac:dyDescent="0.3">
      <c r="A30" s="343" t="s">
        <v>416</v>
      </c>
      <c r="B30" s="340">
        <v>4</v>
      </c>
      <c r="C30" s="339">
        <v>123580645381001</v>
      </c>
      <c r="D30" s="344">
        <v>1.36791</v>
      </c>
      <c r="E30" s="304"/>
      <c r="F30" s="304" t="s">
        <v>410</v>
      </c>
      <c r="G30" s="305" t="s">
        <v>410</v>
      </c>
      <c r="H30" s="304" t="s">
        <v>410</v>
      </c>
      <c r="I30" s="345">
        <v>1994</v>
      </c>
      <c r="J30" s="354">
        <v>6612</v>
      </c>
      <c r="K30" s="354">
        <v>250</v>
      </c>
      <c r="L30" s="352">
        <f t="shared" si="0"/>
        <v>6862</v>
      </c>
      <c r="M30" s="317">
        <v>2</v>
      </c>
      <c r="N30" s="306">
        <v>1</v>
      </c>
      <c r="O30" s="318">
        <v>2</v>
      </c>
      <c r="P30" s="317">
        <v>2</v>
      </c>
      <c r="Q30" s="306">
        <v>2</v>
      </c>
      <c r="R30" s="306">
        <v>2</v>
      </c>
      <c r="S30" s="306">
        <v>2</v>
      </c>
      <c r="T30" s="318">
        <v>3</v>
      </c>
      <c r="U30" s="317">
        <v>2</v>
      </c>
      <c r="V30" s="306">
        <v>1</v>
      </c>
      <c r="W30" s="318">
        <v>1</v>
      </c>
      <c r="X30" s="317">
        <v>2</v>
      </c>
      <c r="Y30" s="306">
        <v>2</v>
      </c>
      <c r="Z30" s="306">
        <v>2</v>
      </c>
      <c r="AA30" s="318">
        <v>2</v>
      </c>
      <c r="AB30" s="314"/>
      <c r="AD30" s="308">
        <v>3</v>
      </c>
      <c r="AE30" s="308" t="s">
        <v>452</v>
      </c>
      <c r="AF30" s="328">
        <v>123577945380203</v>
      </c>
      <c r="AG30" s="337">
        <v>0.55461000000000005</v>
      </c>
      <c r="AH30" s="302">
        <v>1994</v>
      </c>
      <c r="AI30" s="308">
        <v>2</v>
      </c>
      <c r="AJ30" s="308">
        <v>1</v>
      </c>
      <c r="AK30" s="308">
        <v>2</v>
      </c>
      <c r="AL30" s="308">
        <v>3</v>
      </c>
      <c r="AM30" s="308">
        <v>2</v>
      </c>
      <c r="AN30" s="308">
        <v>2</v>
      </c>
      <c r="AO30" s="308">
        <v>2</v>
      </c>
      <c r="AP30" s="308">
        <v>3</v>
      </c>
      <c r="AQ30" s="308">
        <v>2</v>
      </c>
      <c r="AR30" s="308">
        <v>1</v>
      </c>
      <c r="AS30" s="308">
        <v>1</v>
      </c>
      <c r="AT30" s="308">
        <v>2</v>
      </c>
      <c r="AU30" s="308">
        <v>2</v>
      </c>
      <c r="AV30" s="308">
        <v>2</v>
      </c>
      <c r="AW30" s="308">
        <v>2</v>
      </c>
      <c r="AX30" s="302">
        <v>3589</v>
      </c>
      <c r="AY30" s="302">
        <v>382</v>
      </c>
      <c r="AZ30" s="302">
        <v>0</v>
      </c>
      <c r="BA30" s="308" t="s">
        <v>455</v>
      </c>
      <c r="BB30" s="334">
        <v>34557</v>
      </c>
    </row>
    <row r="31" spans="1:54" ht="15" customHeight="1" x14ac:dyDescent="0.3">
      <c r="A31" s="343" t="s">
        <v>416</v>
      </c>
      <c r="B31" s="340">
        <v>5</v>
      </c>
      <c r="C31" s="339">
        <v>123538845350501</v>
      </c>
      <c r="D31" s="344">
        <v>0.57470399999999999</v>
      </c>
      <c r="E31" s="305"/>
      <c r="F31" s="304" t="s">
        <v>410</v>
      </c>
      <c r="G31" s="305" t="s">
        <v>410</v>
      </c>
      <c r="H31" s="304" t="s">
        <v>410</v>
      </c>
      <c r="I31" s="345">
        <v>1994</v>
      </c>
      <c r="J31" s="354">
        <v>2801</v>
      </c>
      <c r="K31" s="354">
        <v>191</v>
      </c>
      <c r="L31" s="352">
        <f t="shared" si="0"/>
        <v>2992</v>
      </c>
      <c r="M31" s="317">
        <v>1</v>
      </c>
      <c r="N31" s="306">
        <v>1</v>
      </c>
      <c r="O31" s="318">
        <v>2</v>
      </c>
      <c r="P31" s="317">
        <v>1</v>
      </c>
      <c r="Q31" s="306">
        <v>2</v>
      </c>
      <c r="R31" s="306">
        <v>2</v>
      </c>
      <c r="S31" s="306">
        <v>2</v>
      </c>
      <c r="T31" s="318">
        <v>3</v>
      </c>
      <c r="U31" s="317">
        <v>2</v>
      </c>
      <c r="V31" s="306">
        <v>1</v>
      </c>
      <c r="W31" s="318">
        <v>1</v>
      </c>
      <c r="X31" s="317">
        <v>3</v>
      </c>
      <c r="Y31" s="306">
        <v>3</v>
      </c>
      <c r="Z31" s="306">
        <v>3</v>
      </c>
      <c r="AA31" s="318">
        <v>3</v>
      </c>
      <c r="AB31" s="314"/>
      <c r="AD31" s="308">
        <v>4</v>
      </c>
      <c r="AE31" s="308" t="s">
        <v>456</v>
      </c>
      <c r="AF31" s="328">
        <v>123580645381001</v>
      </c>
      <c r="AG31" s="337">
        <v>1.36791</v>
      </c>
      <c r="AH31" s="302">
        <v>1994</v>
      </c>
      <c r="AI31" s="308">
        <v>2</v>
      </c>
      <c r="AJ31" s="308">
        <v>1</v>
      </c>
      <c r="AK31" s="308">
        <v>2</v>
      </c>
      <c r="AL31" s="308">
        <v>2</v>
      </c>
      <c r="AM31" s="308">
        <v>2</v>
      </c>
      <c r="AN31" s="308">
        <v>2</v>
      </c>
      <c r="AO31" s="308">
        <v>2</v>
      </c>
      <c r="AP31" s="308">
        <v>3</v>
      </c>
      <c r="AQ31" s="308">
        <v>2</v>
      </c>
      <c r="AR31" s="308">
        <v>1</v>
      </c>
      <c r="AS31" s="308">
        <v>1</v>
      </c>
      <c r="AT31" s="308">
        <v>2</v>
      </c>
      <c r="AU31" s="308">
        <v>2</v>
      </c>
      <c r="AV31" s="308">
        <v>2</v>
      </c>
      <c r="AW31" s="308">
        <v>2</v>
      </c>
      <c r="AX31" s="302">
        <v>6612</v>
      </c>
      <c r="AY31" s="302">
        <v>250</v>
      </c>
      <c r="AZ31" s="302">
        <v>0</v>
      </c>
      <c r="BA31" s="308" t="s">
        <v>457</v>
      </c>
      <c r="BB31" s="334">
        <v>34550</v>
      </c>
    </row>
    <row r="32" spans="1:54" ht="15" customHeight="1" x14ac:dyDescent="0.3">
      <c r="A32" s="343" t="s">
        <v>416</v>
      </c>
      <c r="B32" s="340">
        <v>6</v>
      </c>
      <c r="C32" s="339">
        <v>123605145416502</v>
      </c>
      <c r="D32" s="344">
        <v>0.99779200000000001</v>
      </c>
      <c r="E32" s="305" t="s">
        <v>410</v>
      </c>
      <c r="F32" s="305" t="s">
        <v>410</v>
      </c>
      <c r="G32" s="305" t="s">
        <v>410</v>
      </c>
      <c r="H32" s="304" t="s">
        <v>410</v>
      </c>
      <c r="I32" s="345">
        <v>2004</v>
      </c>
      <c r="J32" s="354">
        <v>27892</v>
      </c>
      <c r="K32" s="354">
        <v>4505</v>
      </c>
      <c r="L32" s="352">
        <f t="shared" si="0"/>
        <v>32397</v>
      </c>
      <c r="M32" s="317">
        <v>3</v>
      </c>
      <c r="N32" s="306">
        <v>2</v>
      </c>
      <c r="O32" s="318">
        <v>2</v>
      </c>
      <c r="P32" s="317">
        <v>2</v>
      </c>
      <c r="Q32" s="306">
        <v>2</v>
      </c>
      <c r="R32" s="306">
        <v>3</v>
      </c>
      <c r="S32" s="306">
        <v>2</v>
      </c>
      <c r="T32" s="318">
        <v>3</v>
      </c>
      <c r="U32" s="317">
        <v>3</v>
      </c>
      <c r="V32" s="306">
        <v>2</v>
      </c>
      <c r="W32" s="318">
        <v>2</v>
      </c>
      <c r="X32" s="317">
        <v>2</v>
      </c>
      <c r="Y32" s="306">
        <v>2</v>
      </c>
      <c r="Z32" s="306">
        <v>2</v>
      </c>
      <c r="AA32" s="318">
        <v>2</v>
      </c>
      <c r="AB32" s="314"/>
      <c r="AD32" s="308">
        <v>5</v>
      </c>
      <c r="AE32" s="308" t="s">
        <v>458</v>
      </c>
      <c r="AF32" s="328">
        <v>123538845350501</v>
      </c>
      <c r="AG32" s="337">
        <v>0.57470399999999999</v>
      </c>
      <c r="AH32" s="302">
        <v>1994</v>
      </c>
      <c r="AI32" s="308">
        <v>1</v>
      </c>
      <c r="AJ32" s="308">
        <v>1</v>
      </c>
      <c r="AK32" s="308">
        <v>2</v>
      </c>
      <c r="AL32" s="308">
        <v>1</v>
      </c>
      <c r="AM32" s="308">
        <v>2</v>
      </c>
      <c r="AN32" s="308">
        <v>2</v>
      </c>
      <c r="AO32" s="308">
        <v>2</v>
      </c>
      <c r="AP32" s="308">
        <v>3</v>
      </c>
      <c r="AQ32" s="308">
        <v>2</v>
      </c>
      <c r="AR32" s="308">
        <v>1</v>
      </c>
      <c r="AS32" s="308">
        <v>1</v>
      </c>
      <c r="AT32" s="308">
        <v>3</v>
      </c>
      <c r="AU32" s="308">
        <v>3</v>
      </c>
      <c r="AV32" s="308">
        <v>3</v>
      </c>
      <c r="AW32" s="308">
        <v>3</v>
      </c>
      <c r="AX32" s="302">
        <v>2801</v>
      </c>
      <c r="AY32" s="302">
        <v>191</v>
      </c>
      <c r="AZ32" s="302">
        <v>0</v>
      </c>
      <c r="BA32" s="308" t="s">
        <v>459</v>
      </c>
      <c r="BB32" s="334">
        <v>34536</v>
      </c>
    </row>
    <row r="33" spans="1:54" x14ac:dyDescent="0.3">
      <c r="A33" s="343" t="s">
        <v>416</v>
      </c>
      <c r="B33" s="340">
        <v>7</v>
      </c>
      <c r="C33" s="339">
        <v>123605145416503</v>
      </c>
      <c r="D33" s="344">
        <v>0.44580599999999998</v>
      </c>
      <c r="E33" s="305" t="s">
        <v>410</v>
      </c>
      <c r="F33" s="305" t="s">
        <v>410</v>
      </c>
      <c r="G33" s="305" t="s">
        <v>410</v>
      </c>
      <c r="H33" s="304" t="s">
        <v>410</v>
      </c>
      <c r="I33" s="345">
        <v>2004</v>
      </c>
      <c r="J33" s="354">
        <v>12278</v>
      </c>
      <c r="K33" s="354">
        <v>126</v>
      </c>
      <c r="L33" s="352">
        <f t="shared" si="0"/>
        <v>12404</v>
      </c>
      <c r="M33" s="317">
        <v>3</v>
      </c>
      <c r="N33" s="306">
        <v>2</v>
      </c>
      <c r="O33" s="318">
        <v>3</v>
      </c>
      <c r="P33" s="317">
        <v>2</v>
      </c>
      <c r="Q33" s="306">
        <v>3</v>
      </c>
      <c r="R33" s="306">
        <v>3</v>
      </c>
      <c r="S33" s="306">
        <v>3</v>
      </c>
      <c r="T33" s="318">
        <v>3</v>
      </c>
      <c r="U33" s="317">
        <v>3</v>
      </c>
      <c r="V33" s="306">
        <v>2</v>
      </c>
      <c r="W33" s="318">
        <v>1</v>
      </c>
      <c r="X33" s="317">
        <v>2</v>
      </c>
      <c r="Y33" s="306">
        <v>2</v>
      </c>
      <c r="Z33" s="306">
        <v>2</v>
      </c>
      <c r="AA33" s="318">
        <v>2</v>
      </c>
      <c r="AB33" s="314"/>
      <c r="AD33" s="308">
        <v>6</v>
      </c>
      <c r="AE33" s="308" t="s">
        <v>460</v>
      </c>
      <c r="AF33" s="328">
        <v>123605145416502</v>
      </c>
      <c r="AG33" s="337">
        <v>0.99779200000000001</v>
      </c>
      <c r="AH33" s="302">
        <v>2004</v>
      </c>
      <c r="AI33" s="308">
        <v>3</v>
      </c>
      <c r="AJ33" s="308">
        <v>2</v>
      </c>
      <c r="AK33" s="308">
        <v>2</v>
      </c>
      <c r="AL33" s="308">
        <v>2</v>
      </c>
      <c r="AM33" s="308">
        <v>2</v>
      </c>
      <c r="AN33" s="308">
        <v>3</v>
      </c>
      <c r="AO33" s="308">
        <v>2</v>
      </c>
      <c r="AP33" s="308">
        <v>3</v>
      </c>
      <c r="AQ33" s="308">
        <v>3</v>
      </c>
      <c r="AR33" s="308">
        <v>2</v>
      </c>
      <c r="AS33" s="308">
        <v>2</v>
      </c>
      <c r="AT33" s="308">
        <v>2</v>
      </c>
      <c r="AU33" s="308">
        <v>2</v>
      </c>
      <c r="AV33" s="308">
        <v>2</v>
      </c>
      <c r="AW33" s="308">
        <v>2</v>
      </c>
      <c r="AX33" s="302">
        <v>27892</v>
      </c>
      <c r="AY33" s="302">
        <v>4505</v>
      </c>
      <c r="AZ33" s="302">
        <v>1.3</v>
      </c>
      <c r="BA33" s="308" t="s">
        <v>461</v>
      </c>
      <c r="BB33" s="334">
        <v>38349</v>
      </c>
    </row>
    <row r="34" spans="1:54" ht="15" customHeight="1" x14ac:dyDescent="0.3">
      <c r="A34" s="343" t="s">
        <v>416</v>
      </c>
      <c r="B34" s="340">
        <v>8</v>
      </c>
      <c r="C34" s="339">
        <v>123605145416504</v>
      </c>
      <c r="D34" s="344">
        <v>1.754434</v>
      </c>
      <c r="E34" s="305" t="s">
        <v>410</v>
      </c>
      <c r="F34" s="305" t="s">
        <v>410</v>
      </c>
      <c r="G34" s="305" t="s">
        <v>410</v>
      </c>
      <c r="H34" s="304" t="s">
        <v>410</v>
      </c>
      <c r="I34" s="345">
        <v>2004</v>
      </c>
      <c r="J34" s="354">
        <v>50856</v>
      </c>
      <c r="K34" s="354">
        <v>1458</v>
      </c>
      <c r="L34" s="352">
        <f t="shared" si="0"/>
        <v>52314</v>
      </c>
      <c r="M34" s="317">
        <v>3</v>
      </c>
      <c r="N34" s="306">
        <v>2</v>
      </c>
      <c r="O34" s="318">
        <v>3</v>
      </c>
      <c r="P34" s="317">
        <v>3</v>
      </c>
      <c r="Q34" s="306">
        <v>3</v>
      </c>
      <c r="R34" s="306">
        <v>3</v>
      </c>
      <c r="S34" s="306">
        <v>3</v>
      </c>
      <c r="T34" s="318">
        <v>3</v>
      </c>
      <c r="U34" s="317">
        <v>3</v>
      </c>
      <c r="V34" s="306">
        <v>2</v>
      </c>
      <c r="W34" s="318">
        <v>1</v>
      </c>
      <c r="X34" s="317">
        <v>2</v>
      </c>
      <c r="Y34" s="306">
        <v>2</v>
      </c>
      <c r="Z34" s="306">
        <v>2</v>
      </c>
      <c r="AA34" s="318">
        <v>2</v>
      </c>
      <c r="AB34" s="314"/>
      <c r="AD34" s="308">
        <v>7</v>
      </c>
      <c r="AE34" s="308" t="s">
        <v>460</v>
      </c>
      <c r="AF34" s="328">
        <v>123605145416503</v>
      </c>
      <c r="AG34" s="337">
        <v>0.44580599999999998</v>
      </c>
      <c r="AH34" s="302">
        <v>2004</v>
      </c>
      <c r="AI34" s="308">
        <v>3</v>
      </c>
      <c r="AJ34" s="308">
        <v>2</v>
      </c>
      <c r="AK34" s="308">
        <v>3</v>
      </c>
      <c r="AL34" s="308">
        <v>2</v>
      </c>
      <c r="AM34" s="308">
        <v>3</v>
      </c>
      <c r="AN34" s="308">
        <v>3</v>
      </c>
      <c r="AO34" s="308">
        <v>3</v>
      </c>
      <c r="AP34" s="308">
        <v>3</v>
      </c>
      <c r="AQ34" s="308">
        <v>3</v>
      </c>
      <c r="AR34" s="308">
        <v>2</v>
      </c>
      <c r="AS34" s="308">
        <v>1</v>
      </c>
      <c r="AT34" s="308">
        <v>2</v>
      </c>
      <c r="AU34" s="308">
        <v>2</v>
      </c>
      <c r="AV34" s="308">
        <v>2</v>
      </c>
      <c r="AW34" s="308">
        <v>2</v>
      </c>
      <c r="AX34" s="302">
        <v>12278</v>
      </c>
      <c r="AY34" s="302">
        <v>126</v>
      </c>
      <c r="AZ34" s="302">
        <v>1.3</v>
      </c>
      <c r="BA34" s="308" t="s">
        <v>462</v>
      </c>
      <c r="BB34" s="334">
        <v>38349</v>
      </c>
    </row>
    <row r="35" spans="1:54" ht="15" customHeight="1" x14ac:dyDescent="0.3">
      <c r="A35" s="343" t="s">
        <v>416</v>
      </c>
      <c r="B35" s="340">
        <v>9</v>
      </c>
      <c r="C35" s="339">
        <v>123605145416505</v>
      </c>
      <c r="D35" s="344">
        <v>1.345882</v>
      </c>
      <c r="E35" s="305" t="s">
        <v>410</v>
      </c>
      <c r="F35" s="305" t="s">
        <v>410</v>
      </c>
      <c r="G35" s="305" t="s">
        <v>410</v>
      </c>
      <c r="H35" s="304" t="s">
        <v>410</v>
      </c>
      <c r="I35" s="345">
        <v>2004</v>
      </c>
      <c r="J35" s="354">
        <v>198500</v>
      </c>
      <c r="K35" s="354">
        <v>1059</v>
      </c>
      <c r="L35" s="352">
        <f t="shared" si="0"/>
        <v>199559</v>
      </c>
      <c r="M35" s="317">
        <v>3</v>
      </c>
      <c r="N35" s="306">
        <v>2</v>
      </c>
      <c r="O35" s="318">
        <v>2</v>
      </c>
      <c r="P35" s="317">
        <v>3</v>
      </c>
      <c r="Q35" s="306">
        <v>2</v>
      </c>
      <c r="R35" s="306">
        <v>3</v>
      </c>
      <c r="S35" s="306">
        <v>2</v>
      </c>
      <c r="T35" s="318">
        <v>3</v>
      </c>
      <c r="U35" s="317">
        <v>3</v>
      </c>
      <c r="V35" s="306">
        <v>1</v>
      </c>
      <c r="W35" s="318">
        <v>1</v>
      </c>
      <c r="X35" s="317">
        <v>2</v>
      </c>
      <c r="Y35" s="306">
        <v>2</v>
      </c>
      <c r="Z35" s="306">
        <v>2</v>
      </c>
      <c r="AA35" s="318">
        <v>2</v>
      </c>
      <c r="AB35" s="314"/>
      <c r="AD35" s="308">
        <v>8</v>
      </c>
      <c r="AE35" s="308" t="s">
        <v>460</v>
      </c>
      <c r="AF35" s="328">
        <v>123605145416504</v>
      </c>
      <c r="AG35" s="337">
        <v>1.754434</v>
      </c>
      <c r="AH35" s="302">
        <v>2004</v>
      </c>
      <c r="AI35" s="308">
        <v>3</v>
      </c>
      <c r="AJ35" s="308">
        <v>2</v>
      </c>
      <c r="AK35" s="308">
        <v>3</v>
      </c>
      <c r="AL35" s="308">
        <v>3</v>
      </c>
      <c r="AM35" s="308">
        <v>3</v>
      </c>
      <c r="AN35" s="308">
        <v>3</v>
      </c>
      <c r="AO35" s="308">
        <v>3</v>
      </c>
      <c r="AP35" s="308">
        <v>3</v>
      </c>
      <c r="AQ35" s="308">
        <v>3</v>
      </c>
      <c r="AR35" s="308">
        <v>2</v>
      </c>
      <c r="AS35" s="308">
        <v>1</v>
      </c>
      <c r="AT35" s="308">
        <v>2</v>
      </c>
      <c r="AU35" s="308">
        <v>2</v>
      </c>
      <c r="AV35" s="308">
        <v>2</v>
      </c>
      <c r="AW35" s="308">
        <v>2</v>
      </c>
      <c r="AX35" s="302">
        <v>50856</v>
      </c>
      <c r="AY35" s="302">
        <v>1458</v>
      </c>
      <c r="AZ35" s="302">
        <v>1.2</v>
      </c>
      <c r="BA35" s="308" t="s">
        <v>463</v>
      </c>
      <c r="BB35" s="334">
        <v>38349</v>
      </c>
    </row>
    <row r="36" spans="1:54" ht="15" customHeight="1" x14ac:dyDescent="0.3">
      <c r="A36" s="343" t="s">
        <v>416</v>
      </c>
      <c r="B36" s="340">
        <v>10</v>
      </c>
      <c r="C36" s="339">
        <v>123605145416506</v>
      </c>
      <c r="D36" s="344">
        <v>0.477663</v>
      </c>
      <c r="E36" s="305" t="s">
        <v>410</v>
      </c>
      <c r="F36" s="305" t="s">
        <v>410</v>
      </c>
      <c r="G36" s="305" t="s">
        <v>410</v>
      </c>
      <c r="H36" s="304" t="s">
        <v>410</v>
      </c>
      <c r="I36" s="345">
        <v>2004</v>
      </c>
      <c r="J36" s="354">
        <v>12792</v>
      </c>
      <c r="K36" s="354">
        <v>343</v>
      </c>
      <c r="L36" s="352">
        <f t="shared" si="0"/>
        <v>13135</v>
      </c>
      <c r="M36" s="317">
        <v>3</v>
      </c>
      <c r="N36" s="306">
        <v>2</v>
      </c>
      <c r="O36" s="318">
        <v>3</v>
      </c>
      <c r="P36" s="317">
        <v>2</v>
      </c>
      <c r="Q36" s="306">
        <v>3</v>
      </c>
      <c r="R36" s="306">
        <v>3</v>
      </c>
      <c r="S36" s="306">
        <v>3</v>
      </c>
      <c r="T36" s="318">
        <v>3</v>
      </c>
      <c r="U36" s="317">
        <v>3</v>
      </c>
      <c r="V36" s="306">
        <v>1</v>
      </c>
      <c r="W36" s="318">
        <v>1</v>
      </c>
      <c r="X36" s="317">
        <v>2</v>
      </c>
      <c r="Y36" s="306">
        <v>2</v>
      </c>
      <c r="Z36" s="306">
        <v>2</v>
      </c>
      <c r="AA36" s="318">
        <v>2</v>
      </c>
      <c r="AB36" s="314"/>
      <c r="AD36" s="308">
        <v>9</v>
      </c>
      <c r="AE36" s="308" t="s">
        <v>460</v>
      </c>
      <c r="AF36" s="328">
        <v>123605145416505</v>
      </c>
      <c r="AG36" s="337">
        <v>1.345882</v>
      </c>
      <c r="AH36" s="302">
        <v>2004</v>
      </c>
      <c r="AI36" s="308">
        <v>3</v>
      </c>
      <c r="AJ36" s="308">
        <v>2</v>
      </c>
      <c r="AK36" s="308">
        <v>2</v>
      </c>
      <c r="AL36" s="308">
        <v>3</v>
      </c>
      <c r="AM36" s="308">
        <v>2</v>
      </c>
      <c r="AN36" s="308">
        <v>3</v>
      </c>
      <c r="AO36" s="308">
        <v>2</v>
      </c>
      <c r="AP36" s="308">
        <v>3</v>
      </c>
      <c r="AQ36" s="308">
        <v>3</v>
      </c>
      <c r="AR36" s="308">
        <v>1</v>
      </c>
      <c r="AS36" s="308">
        <v>1</v>
      </c>
      <c r="AT36" s="308">
        <v>2</v>
      </c>
      <c r="AU36" s="308">
        <v>2</v>
      </c>
      <c r="AV36" s="308">
        <v>2</v>
      </c>
      <c r="AW36" s="308">
        <v>2</v>
      </c>
      <c r="AX36" s="302">
        <v>198500</v>
      </c>
      <c r="AY36" s="302">
        <v>1059</v>
      </c>
      <c r="AZ36" s="302">
        <v>1.2</v>
      </c>
      <c r="BA36" s="308" t="s">
        <v>464</v>
      </c>
      <c r="BB36" s="334">
        <v>38349</v>
      </c>
    </row>
    <row r="37" spans="1:54" x14ac:dyDescent="0.3">
      <c r="A37" s="343" t="s">
        <v>416</v>
      </c>
      <c r="B37" s="340">
        <v>11</v>
      </c>
      <c r="C37" s="339">
        <v>123605145416507</v>
      </c>
      <c r="D37" s="344">
        <v>0.92504500000000001</v>
      </c>
      <c r="E37" s="305" t="s">
        <v>410</v>
      </c>
      <c r="F37" s="305" t="s">
        <v>410</v>
      </c>
      <c r="G37" s="305" t="s">
        <v>410</v>
      </c>
      <c r="H37" s="304" t="s">
        <v>410</v>
      </c>
      <c r="I37" s="345">
        <v>2004</v>
      </c>
      <c r="J37" s="354">
        <v>18186</v>
      </c>
      <c r="K37" s="354">
        <v>2464</v>
      </c>
      <c r="L37" s="352">
        <f t="shared" si="0"/>
        <v>20650</v>
      </c>
      <c r="M37" s="317">
        <v>3</v>
      </c>
      <c r="N37" s="306">
        <v>2</v>
      </c>
      <c r="O37" s="318">
        <v>3</v>
      </c>
      <c r="P37" s="317">
        <v>3</v>
      </c>
      <c r="Q37" s="306">
        <v>3</v>
      </c>
      <c r="R37" s="306">
        <v>3</v>
      </c>
      <c r="S37" s="306">
        <v>2</v>
      </c>
      <c r="T37" s="318">
        <v>3</v>
      </c>
      <c r="U37" s="317">
        <v>2</v>
      </c>
      <c r="V37" s="306">
        <v>1</v>
      </c>
      <c r="W37" s="318">
        <v>1</v>
      </c>
      <c r="X37" s="317">
        <v>2</v>
      </c>
      <c r="Y37" s="306">
        <v>2</v>
      </c>
      <c r="Z37" s="306">
        <v>2</v>
      </c>
      <c r="AA37" s="318">
        <v>2</v>
      </c>
      <c r="AB37" s="314"/>
      <c r="AD37" s="308">
        <v>10</v>
      </c>
      <c r="AE37" s="308" t="s">
        <v>460</v>
      </c>
      <c r="AF37" s="328">
        <v>123605145416506</v>
      </c>
      <c r="AG37" s="337">
        <v>0.477663</v>
      </c>
      <c r="AH37" s="302">
        <v>2004</v>
      </c>
      <c r="AI37" s="308">
        <v>3</v>
      </c>
      <c r="AJ37" s="308">
        <v>2</v>
      </c>
      <c r="AK37" s="308">
        <v>3</v>
      </c>
      <c r="AL37" s="308">
        <v>2</v>
      </c>
      <c r="AM37" s="308">
        <v>3</v>
      </c>
      <c r="AN37" s="308">
        <v>3</v>
      </c>
      <c r="AO37" s="308">
        <v>3</v>
      </c>
      <c r="AP37" s="308">
        <v>3</v>
      </c>
      <c r="AQ37" s="308">
        <v>3</v>
      </c>
      <c r="AR37" s="308">
        <v>1</v>
      </c>
      <c r="AS37" s="308">
        <v>1</v>
      </c>
      <c r="AT37" s="308">
        <v>2</v>
      </c>
      <c r="AU37" s="308">
        <v>2</v>
      </c>
      <c r="AV37" s="308">
        <v>2</v>
      </c>
      <c r="AW37" s="308">
        <v>2</v>
      </c>
      <c r="AX37" s="302">
        <v>12792</v>
      </c>
      <c r="AY37" s="302">
        <v>343</v>
      </c>
      <c r="AZ37" s="302">
        <v>1.2</v>
      </c>
      <c r="BA37" s="308" t="s">
        <v>465</v>
      </c>
      <c r="BB37" s="334">
        <v>38349</v>
      </c>
    </row>
    <row r="38" spans="1:54" x14ac:dyDescent="0.3">
      <c r="A38" s="343" t="s">
        <v>416</v>
      </c>
      <c r="B38" s="340">
        <v>12</v>
      </c>
      <c r="C38" s="339">
        <v>123605145416508</v>
      </c>
      <c r="D38" s="344">
        <v>0.82653299999999996</v>
      </c>
      <c r="E38" s="305" t="s">
        <v>410</v>
      </c>
      <c r="F38" s="305" t="s">
        <v>410</v>
      </c>
      <c r="G38" s="305" t="s">
        <v>410</v>
      </c>
      <c r="H38" s="304" t="s">
        <v>410</v>
      </c>
      <c r="I38" s="345">
        <v>2005</v>
      </c>
      <c r="J38" s="354">
        <v>13542</v>
      </c>
      <c r="K38" s="354">
        <v>567</v>
      </c>
      <c r="L38" s="352">
        <f t="shared" si="0"/>
        <v>14109</v>
      </c>
      <c r="M38" s="317">
        <v>3</v>
      </c>
      <c r="N38" s="306">
        <v>2</v>
      </c>
      <c r="O38" s="318">
        <v>3</v>
      </c>
      <c r="P38" s="317">
        <v>3</v>
      </c>
      <c r="Q38" s="306">
        <v>3</v>
      </c>
      <c r="R38" s="306">
        <v>3</v>
      </c>
      <c r="S38" s="306">
        <v>2</v>
      </c>
      <c r="T38" s="318">
        <v>3</v>
      </c>
      <c r="U38" s="317">
        <v>3</v>
      </c>
      <c r="V38" s="306">
        <v>3</v>
      </c>
      <c r="W38" s="318">
        <v>1</v>
      </c>
      <c r="X38" s="317">
        <v>2</v>
      </c>
      <c r="Y38" s="306">
        <v>2</v>
      </c>
      <c r="Z38" s="306">
        <v>2</v>
      </c>
      <c r="AA38" s="318">
        <v>2</v>
      </c>
      <c r="AB38" s="314"/>
      <c r="AD38" s="308">
        <v>11</v>
      </c>
      <c r="AE38" s="308" t="s">
        <v>460</v>
      </c>
      <c r="AF38" s="328">
        <v>123605145416507</v>
      </c>
      <c r="AG38" s="337">
        <v>0.92504500000000001</v>
      </c>
      <c r="AH38" s="302">
        <v>2004</v>
      </c>
      <c r="AI38" s="308">
        <v>3</v>
      </c>
      <c r="AJ38" s="308">
        <v>2</v>
      </c>
      <c r="AK38" s="308">
        <v>3</v>
      </c>
      <c r="AL38" s="308">
        <v>3</v>
      </c>
      <c r="AM38" s="308">
        <v>3</v>
      </c>
      <c r="AN38" s="308">
        <v>3</v>
      </c>
      <c r="AO38" s="308">
        <v>2</v>
      </c>
      <c r="AP38" s="308">
        <v>3</v>
      </c>
      <c r="AQ38" s="308">
        <v>2</v>
      </c>
      <c r="AR38" s="308">
        <v>1</v>
      </c>
      <c r="AS38" s="308">
        <v>1</v>
      </c>
      <c r="AT38" s="308">
        <v>2</v>
      </c>
      <c r="AU38" s="308">
        <v>2</v>
      </c>
      <c r="AV38" s="308">
        <v>2</v>
      </c>
      <c r="AW38" s="308">
        <v>2</v>
      </c>
      <c r="AX38" s="302">
        <v>18186</v>
      </c>
      <c r="AY38" s="302">
        <v>2464</v>
      </c>
      <c r="AZ38" s="302">
        <v>1.5</v>
      </c>
      <c r="BA38" s="308" t="s">
        <v>466</v>
      </c>
      <c r="BB38" s="334">
        <v>38349</v>
      </c>
    </row>
    <row r="39" spans="1:54" x14ac:dyDescent="0.3">
      <c r="A39" s="343" t="s">
        <v>416</v>
      </c>
      <c r="B39" s="340">
        <v>13</v>
      </c>
      <c r="C39" s="339">
        <v>123605145416509</v>
      </c>
      <c r="D39" s="344">
        <v>0.64796200000000004</v>
      </c>
      <c r="E39" s="305" t="s">
        <v>410</v>
      </c>
      <c r="F39" s="305" t="s">
        <v>410</v>
      </c>
      <c r="G39" s="305" t="s">
        <v>410</v>
      </c>
      <c r="H39" s="304" t="s">
        <v>410</v>
      </c>
      <c r="I39" s="345">
        <v>2005</v>
      </c>
      <c r="J39" s="354">
        <v>8765</v>
      </c>
      <c r="K39" s="354">
        <v>647</v>
      </c>
      <c r="L39" s="352">
        <f t="shared" si="0"/>
        <v>9412</v>
      </c>
      <c r="M39" s="317">
        <v>3</v>
      </c>
      <c r="N39" s="306">
        <v>2</v>
      </c>
      <c r="O39" s="318">
        <v>3</v>
      </c>
      <c r="P39" s="317">
        <v>2</v>
      </c>
      <c r="Q39" s="306">
        <v>3</v>
      </c>
      <c r="R39" s="306">
        <v>3</v>
      </c>
      <c r="S39" s="306">
        <v>2</v>
      </c>
      <c r="T39" s="318">
        <v>3</v>
      </c>
      <c r="U39" s="317">
        <v>2</v>
      </c>
      <c r="V39" s="306">
        <v>1</v>
      </c>
      <c r="W39" s="318">
        <v>1</v>
      </c>
      <c r="X39" s="317">
        <v>2</v>
      </c>
      <c r="Y39" s="306">
        <v>2</v>
      </c>
      <c r="Z39" s="306">
        <v>2</v>
      </c>
      <c r="AA39" s="318">
        <v>2</v>
      </c>
      <c r="AB39" s="314"/>
      <c r="AD39" s="308">
        <v>12</v>
      </c>
      <c r="AE39" s="308" t="s">
        <v>460</v>
      </c>
      <c r="AF39" s="328">
        <v>123605145416508</v>
      </c>
      <c r="AG39" s="337">
        <v>0.82653299999999996</v>
      </c>
      <c r="AH39" s="302">
        <v>2005</v>
      </c>
      <c r="AI39" s="308">
        <v>3</v>
      </c>
      <c r="AJ39" s="308">
        <v>2</v>
      </c>
      <c r="AK39" s="308">
        <v>3</v>
      </c>
      <c r="AL39" s="308">
        <v>3</v>
      </c>
      <c r="AM39" s="308">
        <v>3</v>
      </c>
      <c r="AN39" s="308">
        <v>3</v>
      </c>
      <c r="AO39" s="308">
        <v>2</v>
      </c>
      <c r="AP39" s="308">
        <v>3</v>
      </c>
      <c r="AQ39" s="308">
        <v>3</v>
      </c>
      <c r="AR39" s="308">
        <v>3</v>
      </c>
      <c r="AS39" s="308">
        <v>1</v>
      </c>
      <c r="AT39" s="308">
        <v>2</v>
      </c>
      <c r="AU39" s="308">
        <v>2</v>
      </c>
      <c r="AV39" s="308">
        <v>2</v>
      </c>
      <c r="AW39" s="308">
        <v>2</v>
      </c>
      <c r="AX39" s="302">
        <v>13542</v>
      </c>
      <c r="AY39" s="302">
        <v>567</v>
      </c>
      <c r="AZ39" s="302">
        <v>1.4</v>
      </c>
      <c r="BA39" s="308" t="s">
        <v>467</v>
      </c>
      <c r="BB39" s="334">
        <v>38394</v>
      </c>
    </row>
    <row r="40" spans="1:54" x14ac:dyDescent="0.3">
      <c r="A40" s="343" t="s">
        <v>416</v>
      </c>
      <c r="B40" s="340">
        <v>14</v>
      </c>
      <c r="C40" s="339">
        <v>123605145416510</v>
      </c>
      <c r="D40" s="344">
        <v>0.51054500000000003</v>
      </c>
      <c r="E40" s="305" t="s">
        <v>410</v>
      </c>
      <c r="F40" s="305" t="s">
        <v>410</v>
      </c>
      <c r="G40" s="305" t="s">
        <v>410</v>
      </c>
      <c r="H40" s="304" t="s">
        <v>410</v>
      </c>
      <c r="I40" s="345">
        <v>2005</v>
      </c>
      <c r="J40" s="354">
        <v>7314</v>
      </c>
      <c r="K40" s="354">
        <v>1577</v>
      </c>
      <c r="L40" s="352">
        <f t="shared" si="0"/>
        <v>8891</v>
      </c>
      <c r="M40" s="317">
        <v>3</v>
      </c>
      <c r="N40" s="306">
        <v>2</v>
      </c>
      <c r="O40" s="318">
        <v>3</v>
      </c>
      <c r="P40" s="317">
        <v>2</v>
      </c>
      <c r="Q40" s="306">
        <v>3</v>
      </c>
      <c r="R40" s="306">
        <v>3</v>
      </c>
      <c r="S40" s="306">
        <v>2</v>
      </c>
      <c r="T40" s="318">
        <v>3</v>
      </c>
      <c r="U40" s="317">
        <v>3</v>
      </c>
      <c r="V40" s="306">
        <v>2</v>
      </c>
      <c r="W40" s="318">
        <v>1</v>
      </c>
      <c r="X40" s="317">
        <v>2</v>
      </c>
      <c r="Y40" s="306">
        <v>2</v>
      </c>
      <c r="Z40" s="306">
        <v>2</v>
      </c>
      <c r="AA40" s="318">
        <v>2</v>
      </c>
      <c r="AB40" s="314"/>
      <c r="AD40" s="308">
        <v>13</v>
      </c>
      <c r="AE40" s="308" t="s">
        <v>460</v>
      </c>
      <c r="AF40" s="328">
        <v>123605145416509</v>
      </c>
      <c r="AG40" s="337">
        <v>0.64796200000000004</v>
      </c>
      <c r="AH40" s="302">
        <v>2005</v>
      </c>
      <c r="AI40" s="308">
        <v>3</v>
      </c>
      <c r="AJ40" s="308">
        <v>2</v>
      </c>
      <c r="AK40" s="308">
        <v>3</v>
      </c>
      <c r="AL40" s="308">
        <v>2</v>
      </c>
      <c r="AM40" s="308">
        <v>3</v>
      </c>
      <c r="AN40" s="308">
        <v>3</v>
      </c>
      <c r="AO40" s="308">
        <v>2</v>
      </c>
      <c r="AP40" s="308">
        <v>3</v>
      </c>
      <c r="AQ40" s="308">
        <v>2</v>
      </c>
      <c r="AR40" s="308">
        <v>1</v>
      </c>
      <c r="AS40" s="308">
        <v>1</v>
      </c>
      <c r="AT40" s="308">
        <v>2</v>
      </c>
      <c r="AU40" s="308">
        <v>2</v>
      </c>
      <c r="AV40" s="308">
        <v>2</v>
      </c>
      <c r="AW40" s="308">
        <v>2</v>
      </c>
      <c r="AX40" s="302">
        <v>8765</v>
      </c>
      <c r="AY40" s="302">
        <v>647</v>
      </c>
      <c r="AZ40" s="302">
        <v>1.3</v>
      </c>
      <c r="BA40" s="308" t="s">
        <v>468</v>
      </c>
      <c r="BB40" s="334">
        <v>38399</v>
      </c>
    </row>
    <row r="41" spans="1:54" x14ac:dyDescent="0.3">
      <c r="A41" s="343" t="s">
        <v>416</v>
      </c>
      <c r="B41" s="340">
        <v>15</v>
      </c>
      <c r="C41" s="339">
        <v>123605145416511</v>
      </c>
      <c r="D41" s="344">
        <v>0.85170000000000001</v>
      </c>
      <c r="E41" s="305"/>
      <c r="F41" s="305" t="s">
        <v>410</v>
      </c>
      <c r="G41" s="305" t="s">
        <v>410</v>
      </c>
      <c r="H41" s="304" t="s">
        <v>410</v>
      </c>
      <c r="I41" s="345">
        <v>2005</v>
      </c>
      <c r="J41" s="354">
        <v>8475</v>
      </c>
      <c r="K41" s="354">
        <v>659</v>
      </c>
      <c r="L41" s="352">
        <f t="shared" si="0"/>
        <v>9134</v>
      </c>
      <c r="M41" s="317">
        <v>2</v>
      </c>
      <c r="N41" s="306">
        <v>1</v>
      </c>
      <c r="O41" s="318">
        <v>2</v>
      </c>
      <c r="P41" s="317">
        <v>2</v>
      </c>
      <c r="Q41" s="306">
        <v>2</v>
      </c>
      <c r="R41" s="306">
        <v>2</v>
      </c>
      <c r="S41" s="306">
        <v>2</v>
      </c>
      <c r="T41" s="318">
        <v>3</v>
      </c>
      <c r="U41" s="317">
        <v>1</v>
      </c>
      <c r="V41" s="306">
        <v>1</v>
      </c>
      <c r="W41" s="318">
        <v>1</v>
      </c>
      <c r="X41" s="317">
        <v>2</v>
      </c>
      <c r="Y41" s="306">
        <v>2</v>
      </c>
      <c r="Z41" s="306">
        <v>2</v>
      </c>
      <c r="AA41" s="318">
        <v>2</v>
      </c>
      <c r="AB41" s="314"/>
      <c r="AD41" s="308">
        <v>14</v>
      </c>
      <c r="AE41" s="308" t="s">
        <v>460</v>
      </c>
      <c r="AF41" s="328">
        <v>123605145416510</v>
      </c>
      <c r="AG41" s="337">
        <v>0.51054500000000003</v>
      </c>
      <c r="AH41" s="302">
        <v>2005</v>
      </c>
      <c r="AI41" s="308">
        <v>3</v>
      </c>
      <c r="AJ41" s="308">
        <v>2</v>
      </c>
      <c r="AK41" s="308">
        <v>3</v>
      </c>
      <c r="AL41" s="308">
        <v>2</v>
      </c>
      <c r="AM41" s="308">
        <v>3</v>
      </c>
      <c r="AN41" s="308">
        <v>3</v>
      </c>
      <c r="AO41" s="308">
        <v>2</v>
      </c>
      <c r="AP41" s="308">
        <v>3</v>
      </c>
      <c r="AQ41" s="308">
        <v>3</v>
      </c>
      <c r="AR41" s="308">
        <v>2</v>
      </c>
      <c r="AS41" s="308">
        <v>1</v>
      </c>
      <c r="AT41" s="308">
        <v>2</v>
      </c>
      <c r="AU41" s="308">
        <v>2</v>
      </c>
      <c r="AV41" s="308">
        <v>2</v>
      </c>
      <c r="AW41" s="308">
        <v>2</v>
      </c>
      <c r="AX41" s="302">
        <v>7314</v>
      </c>
      <c r="AY41" s="302">
        <v>1577</v>
      </c>
      <c r="AZ41" s="302">
        <v>1.2</v>
      </c>
      <c r="BA41" s="308" t="s">
        <v>469</v>
      </c>
      <c r="BB41" s="334">
        <v>38400</v>
      </c>
    </row>
    <row r="42" spans="1:54" x14ac:dyDescent="0.3">
      <c r="A42" s="343" t="s">
        <v>416</v>
      </c>
      <c r="B42" s="340">
        <v>16</v>
      </c>
      <c r="C42" s="339">
        <v>123558145368201</v>
      </c>
      <c r="D42" s="344">
        <v>0.22712599999999999</v>
      </c>
      <c r="E42" s="305"/>
      <c r="F42" s="305" t="s">
        <v>410</v>
      </c>
      <c r="G42" s="305" t="s">
        <v>410</v>
      </c>
      <c r="H42" s="304" t="s">
        <v>410</v>
      </c>
      <c r="I42" s="345">
        <v>2005</v>
      </c>
      <c r="J42" s="354">
        <v>1334</v>
      </c>
      <c r="K42" s="354">
        <v>629</v>
      </c>
      <c r="L42" s="352">
        <f t="shared" si="0"/>
        <v>1963</v>
      </c>
      <c r="M42" s="317">
        <v>2</v>
      </c>
      <c r="N42" s="306">
        <v>1</v>
      </c>
      <c r="O42" s="318">
        <v>2</v>
      </c>
      <c r="P42" s="317">
        <v>2</v>
      </c>
      <c r="Q42" s="306">
        <v>2</v>
      </c>
      <c r="R42" s="306">
        <v>2</v>
      </c>
      <c r="S42" s="306">
        <v>2</v>
      </c>
      <c r="T42" s="318">
        <v>3</v>
      </c>
      <c r="U42" s="317">
        <v>2</v>
      </c>
      <c r="V42" s="306">
        <v>1</v>
      </c>
      <c r="W42" s="318">
        <v>1</v>
      </c>
      <c r="X42" s="317">
        <v>2</v>
      </c>
      <c r="Y42" s="306">
        <v>2</v>
      </c>
      <c r="Z42" s="306">
        <v>2</v>
      </c>
      <c r="AA42" s="318">
        <v>2</v>
      </c>
      <c r="AB42" s="314"/>
      <c r="AD42" s="308">
        <v>15</v>
      </c>
      <c r="AE42" s="308" t="s">
        <v>460</v>
      </c>
      <c r="AF42" s="328">
        <v>123605145416511</v>
      </c>
      <c r="AG42" s="337">
        <v>0.85170000000000001</v>
      </c>
      <c r="AH42" s="302">
        <v>2005</v>
      </c>
      <c r="AI42" s="308">
        <v>2</v>
      </c>
      <c r="AJ42" s="308">
        <v>1</v>
      </c>
      <c r="AK42" s="308">
        <v>2</v>
      </c>
      <c r="AL42" s="308">
        <v>2</v>
      </c>
      <c r="AM42" s="308">
        <v>2</v>
      </c>
      <c r="AN42" s="308">
        <v>2</v>
      </c>
      <c r="AO42" s="308">
        <v>2</v>
      </c>
      <c r="AP42" s="308">
        <v>3</v>
      </c>
      <c r="AQ42" s="308">
        <v>1</v>
      </c>
      <c r="AR42" s="308">
        <v>1</v>
      </c>
      <c r="AS42" s="308">
        <v>1</v>
      </c>
      <c r="AT42" s="308">
        <v>2</v>
      </c>
      <c r="AU42" s="308">
        <v>2</v>
      </c>
      <c r="AV42" s="308">
        <v>2</v>
      </c>
      <c r="AW42" s="308">
        <v>2</v>
      </c>
      <c r="AX42" s="302">
        <v>8475</v>
      </c>
      <c r="AY42" s="302">
        <v>659</v>
      </c>
      <c r="AZ42" s="302">
        <v>1.2</v>
      </c>
      <c r="BA42" s="308" t="s">
        <v>470</v>
      </c>
      <c r="BB42" s="334">
        <v>38400</v>
      </c>
    </row>
    <row r="43" spans="1:54" x14ac:dyDescent="0.3">
      <c r="A43" s="343" t="s">
        <v>416</v>
      </c>
      <c r="B43" s="340">
        <v>17</v>
      </c>
      <c r="C43" s="339">
        <v>123515145361401</v>
      </c>
      <c r="D43" s="344">
        <v>0.283358</v>
      </c>
      <c r="E43" s="305"/>
      <c r="F43" s="305" t="s">
        <v>410</v>
      </c>
      <c r="G43" s="305" t="s">
        <v>410</v>
      </c>
      <c r="H43" s="304" t="s">
        <v>410</v>
      </c>
      <c r="I43" s="345">
        <v>2005</v>
      </c>
      <c r="J43" s="354">
        <v>3036</v>
      </c>
      <c r="K43" s="354">
        <v>321</v>
      </c>
      <c r="L43" s="352">
        <f t="shared" si="0"/>
        <v>3357</v>
      </c>
      <c r="M43" s="317">
        <v>2</v>
      </c>
      <c r="N43" s="306">
        <v>1</v>
      </c>
      <c r="O43" s="318">
        <v>2</v>
      </c>
      <c r="P43" s="317">
        <v>3</v>
      </c>
      <c r="Q43" s="306">
        <v>3</v>
      </c>
      <c r="R43" s="306">
        <v>2</v>
      </c>
      <c r="S43" s="306">
        <v>2</v>
      </c>
      <c r="T43" s="318">
        <v>3</v>
      </c>
      <c r="U43" s="317">
        <v>2</v>
      </c>
      <c r="V43" s="306">
        <v>1</v>
      </c>
      <c r="W43" s="318">
        <v>1</v>
      </c>
      <c r="X43" s="317">
        <v>1</v>
      </c>
      <c r="Y43" s="306">
        <v>1</v>
      </c>
      <c r="Z43" s="306">
        <v>1</v>
      </c>
      <c r="AA43" s="318">
        <v>1</v>
      </c>
      <c r="AB43" s="314"/>
      <c r="AD43" s="308">
        <v>16</v>
      </c>
      <c r="AE43" s="308" t="s">
        <v>471</v>
      </c>
      <c r="AF43" s="328">
        <v>123558145368201</v>
      </c>
      <c r="AG43" s="337">
        <v>0.22712599999999999</v>
      </c>
      <c r="AH43" s="302">
        <v>2005</v>
      </c>
      <c r="AI43" s="308">
        <v>2</v>
      </c>
      <c r="AJ43" s="308">
        <v>1</v>
      </c>
      <c r="AK43" s="308">
        <v>2</v>
      </c>
      <c r="AL43" s="308">
        <v>2</v>
      </c>
      <c r="AM43" s="308">
        <v>2</v>
      </c>
      <c r="AN43" s="308">
        <v>2</v>
      </c>
      <c r="AO43" s="308">
        <v>2</v>
      </c>
      <c r="AP43" s="308">
        <v>3</v>
      </c>
      <c r="AQ43" s="308">
        <v>2</v>
      </c>
      <c r="AR43" s="308">
        <v>1</v>
      </c>
      <c r="AS43" s="308">
        <v>1</v>
      </c>
      <c r="AT43" s="308">
        <v>2</v>
      </c>
      <c r="AU43" s="308">
        <v>2</v>
      </c>
      <c r="AV43" s="308">
        <v>2</v>
      </c>
      <c r="AW43" s="308">
        <v>2</v>
      </c>
      <c r="AX43" s="302">
        <v>1334</v>
      </c>
      <c r="AY43" s="302">
        <v>629</v>
      </c>
      <c r="AZ43" s="302">
        <v>1.4</v>
      </c>
      <c r="BA43" s="308" t="s">
        <v>472</v>
      </c>
      <c r="BB43" s="334">
        <v>38426</v>
      </c>
    </row>
    <row r="44" spans="1:54" ht="15" customHeight="1" x14ac:dyDescent="0.3">
      <c r="A44" s="343" t="s">
        <v>416</v>
      </c>
      <c r="B44" s="340">
        <v>18</v>
      </c>
      <c r="C44" s="339">
        <v>123547445360901</v>
      </c>
      <c r="D44" s="344">
        <v>0.58122700000000005</v>
      </c>
      <c r="E44" s="305"/>
      <c r="F44" s="305" t="s">
        <v>410</v>
      </c>
      <c r="G44" s="305" t="s">
        <v>410</v>
      </c>
      <c r="H44" s="304" t="s">
        <v>410</v>
      </c>
      <c r="I44" s="345">
        <v>2005</v>
      </c>
      <c r="J44" s="354">
        <v>5881</v>
      </c>
      <c r="K44" s="354">
        <v>370</v>
      </c>
      <c r="L44" s="352">
        <f t="shared" si="0"/>
        <v>6251</v>
      </c>
      <c r="M44" s="317">
        <v>3</v>
      </c>
      <c r="N44" s="306">
        <v>2</v>
      </c>
      <c r="O44" s="318">
        <v>3</v>
      </c>
      <c r="P44" s="317">
        <v>3</v>
      </c>
      <c r="Q44" s="306">
        <v>3</v>
      </c>
      <c r="R44" s="306">
        <v>3</v>
      </c>
      <c r="S44" s="306">
        <v>2</v>
      </c>
      <c r="T44" s="318">
        <v>3</v>
      </c>
      <c r="U44" s="317">
        <v>2</v>
      </c>
      <c r="V44" s="306">
        <v>3</v>
      </c>
      <c r="W44" s="318">
        <v>1</v>
      </c>
      <c r="X44" s="317">
        <v>2</v>
      </c>
      <c r="Y44" s="306">
        <v>2</v>
      </c>
      <c r="Z44" s="306">
        <v>2</v>
      </c>
      <c r="AA44" s="318">
        <v>2</v>
      </c>
      <c r="AB44" s="314"/>
      <c r="AD44" s="308">
        <v>17</v>
      </c>
      <c r="AE44" s="308" t="s">
        <v>473</v>
      </c>
      <c r="AF44" s="328">
        <v>123515145361401</v>
      </c>
      <c r="AG44" s="337">
        <v>0.283358</v>
      </c>
      <c r="AH44" s="302">
        <v>2005</v>
      </c>
      <c r="AI44" s="308">
        <v>2</v>
      </c>
      <c r="AJ44" s="308">
        <v>1</v>
      </c>
      <c r="AK44" s="308">
        <v>2</v>
      </c>
      <c r="AL44" s="308">
        <v>3</v>
      </c>
      <c r="AM44" s="308">
        <v>3</v>
      </c>
      <c r="AN44" s="308">
        <v>2</v>
      </c>
      <c r="AO44" s="308">
        <v>2</v>
      </c>
      <c r="AP44" s="308">
        <v>3</v>
      </c>
      <c r="AQ44" s="308">
        <v>2</v>
      </c>
      <c r="AR44" s="308">
        <v>1</v>
      </c>
      <c r="AS44" s="308">
        <v>1</v>
      </c>
      <c r="AT44" s="308">
        <v>1</v>
      </c>
      <c r="AU44" s="308">
        <v>1</v>
      </c>
      <c r="AV44" s="308">
        <v>1</v>
      </c>
      <c r="AW44" s="308">
        <v>1</v>
      </c>
      <c r="AX44" s="302">
        <v>3036</v>
      </c>
      <c r="AY44" s="302">
        <v>321</v>
      </c>
      <c r="AZ44" s="302">
        <v>1.3</v>
      </c>
      <c r="BA44" s="308" t="s">
        <v>474</v>
      </c>
      <c r="BB44" s="334">
        <v>38426</v>
      </c>
    </row>
    <row r="45" spans="1:54" ht="15" customHeight="1" x14ac:dyDescent="0.3">
      <c r="A45" s="343" t="s">
        <v>416</v>
      </c>
      <c r="B45" s="340">
        <v>19</v>
      </c>
      <c r="C45" s="339">
        <v>123547445360902</v>
      </c>
      <c r="D45" s="344">
        <v>0.326654</v>
      </c>
      <c r="E45" s="305"/>
      <c r="F45" s="305" t="s">
        <v>410</v>
      </c>
      <c r="G45" s="305" t="s">
        <v>410</v>
      </c>
      <c r="H45" s="304" t="s">
        <v>410</v>
      </c>
      <c r="I45" s="345">
        <v>2005</v>
      </c>
      <c r="J45" s="354">
        <v>1873</v>
      </c>
      <c r="K45" s="354">
        <v>15</v>
      </c>
      <c r="L45" s="352">
        <f t="shared" si="0"/>
        <v>1888</v>
      </c>
      <c r="M45" s="317">
        <v>3</v>
      </c>
      <c r="N45" s="306">
        <v>2</v>
      </c>
      <c r="O45" s="318">
        <v>3</v>
      </c>
      <c r="P45" s="317">
        <v>3</v>
      </c>
      <c r="Q45" s="306">
        <v>3</v>
      </c>
      <c r="R45" s="306">
        <v>3</v>
      </c>
      <c r="S45" s="306">
        <v>2</v>
      </c>
      <c r="T45" s="318">
        <v>3</v>
      </c>
      <c r="U45" s="317">
        <v>2</v>
      </c>
      <c r="V45" s="306">
        <v>1</v>
      </c>
      <c r="W45" s="318">
        <v>1</v>
      </c>
      <c r="X45" s="317">
        <v>3</v>
      </c>
      <c r="Y45" s="306">
        <v>3</v>
      </c>
      <c r="Z45" s="306">
        <v>3</v>
      </c>
      <c r="AA45" s="318">
        <v>3</v>
      </c>
      <c r="AB45" s="314"/>
      <c r="AD45" s="308">
        <v>18</v>
      </c>
      <c r="AE45" s="308" t="s">
        <v>475</v>
      </c>
      <c r="AF45" s="328">
        <v>123547445360901</v>
      </c>
      <c r="AG45" s="337">
        <v>0.58122700000000005</v>
      </c>
      <c r="AH45" s="302">
        <v>2005</v>
      </c>
      <c r="AI45" s="308">
        <v>3</v>
      </c>
      <c r="AJ45" s="308">
        <v>2</v>
      </c>
      <c r="AK45" s="308">
        <v>3</v>
      </c>
      <c r="AL45" s="308">
        <v>3</v>
      </c>
      <c r="AM45" s="308">
        <v>3</v>
      </c>
      <c r="AN45" s="308">
        <v>3</v>
      </c>
      <c r="AO45" s="308">
        <v>2</v>
      </c>
      <c r="AP45" s="308">
        <v>3</v>
      </c>
      <c r="AQ45" s="308">
        <v>2</v>
      </c>
      <c r="AR45" s="308">
        <v>3</v>
      </c>
      <c r="AS45" s="308">
        <v>1</v>
      </c>
      <c r="AT45" s="308">
        <v>2</v>
      </c>
      <c r="AU45" s="308">
        <v>2</v>
      </c>
      <c r="AV45" s="308">
        <v>2</v>
      </c>
      <c r="AW45" s="308">
        <v>2</v>
      </c>
      <c r="AX45" s="302">
        <v>5881</v>
      </c>
      <c r="AY45" s="302">
        <v>370</v>
      </c>
      <c r="AZ45" s="302">
        <v>1.3</v>
      </c>
      <c r="BA45" s="308" t="s">
        <v>476</v>
      </c>
      <c r="BB45" s="334">
        <v>38426</v>
      </c>
    </row>
    <row r="46" spans="1:54" ht="15" customHeight="1" x14ac:dyDescent="0.3">
      <c r="A46" s="343" t="s">
        <v>416</v>
      </c>
      <c r="B46" s="340">
        <v>20</v>
      </c>
      <c r="C46" s="339">
        <v>123562545372801</v>
      </c>
      <c r="D46" s="344">
        <v>0.19992299999999999</v>
      </c>
      <c r="E46" s="305"/>
      <c r="F46" s="305" t="s">
        <v>410</v>
      </c>
      <c r="G46" s="305" t="s">
        <v>410</v>
      </c>
      <c r="H46" s="304" t="s">
        <v>410</v>
      </c>
      <c r="I46" s="345">
        <v>2005</v>
      </c>
      <c r="J46" s="354">
        <v>1222</v>
      </c>
      <c r="K46" s="354">
        <v>218</v>
      </c>
      <c r="L46" s="352">
        <f t="shared" si="0"/>
        <v>1440</v>
      </c>
      <c r="M46" s="317">
        <v>2</v>
      </c>
      <c r="N46" s="306">
        <v>1</v>
      </c>
      <c r="O46" s="318">
        <v>2</v>
      </c>
      <c r="P46" s="317">
        <v>3</v>
      </c>
      <c r="Q46" s="306">
        <v>2</v>
      </c>
      <c r="R46" s="306">
        <v>2</v>
      </c>
      <c r="S46" s="306">
        <v>2</v>
      </c>
      <c r="T46" s="318">
        <v>3</v>
      </c>
      <c r="U46" s="317">
        <v>3</v>
      </c>
      <c r="V46" s="306">
        <v>1</v>
      </c>
      <c r="W46" s="318">
        <v>1</v>
      </c>
      <c r="X46" s="317">
        <v>3</v>
      </c>
      <c r="Y46" s="306">
        <v>3</v>
      </c>
      <c r="Z46" s="306">
        <v>3</v>
      </c>
      <c r="AA46" s="318">
        <v>3</v>
      </c>
      <c r="AB46" s="314"/>
      <c r="AD46" s="308">
        <v>19</v>
      </c>
      <c r="AE46" s="308" t="s">
        <v>475</v>
      </c>
      <c r="AF46" s="328">
        <v>123547445360902</v>
      </c>
      <c r="AG46" s="337">
        <v>0.326654</v>
      </c>
      <c r="AH46" s="302">
        <v>2005</v>
      </c>
      <c r="AI46" s="308">
        <v>3</v>
      </c>
      <c r="AJ46" s="308">
        <v>2</v>
      </c>
      <c r="AK46" s="308">
        <v>3</v>
      </c>
      <c r="AL46" s="308">
        <v>3</v>
      </c>
      <c r="AM46" s="308">
        <v>3</v>
      </c>
      <c r="AN46" s="308">
        <v>3</v>
      </c>
      <c r="AO46" s="308">
        <v>2</v>
      </c>
      <c r="AP46" s="308">
        <v>3</v>
      </c>
      <c r="AQ46" s="308">
        <v>2</v>
      </c>
      <c r="AR46" s="308">
        <v>1</v>
      </c>
      <c r="AS46" s="308">
        <v>1</v>
      </c>
      <c r="AT46" s="308">
        <v>3</v>
      </c>
      <c r="AU46" s="308">
        <v>3</v>
      </c>
      <c r="AV46" s="308">
        <v>3</v>
      </c>
      <c r="AW46" s="308">
        <v>3</v>
      </c>
      <c r="AX46" s="302">
        <v>1873</v>
      </c>
      <c r="AY46" s="302">
        <v>15</v>
      </c>
      <c r="AZ46" s="302">
        <v>1.3</v>
      </c>
      <c r="BA46" s="308" t="s">
        <v>477</v>
      </c>
      <c r="BB46" s="334">
        <v>38426</v>
      </c>
    </row>
    <row r="47" spans="1:54" x14ac:dyDescent="0.3">
      <c r="A47" s="340" t="s">
        <v>416</v>
      </c>
      <c r="B47" s="340">
        <v>21</v>
      </c>
      <c r="C47" s="339">
        <v>123562545372802</v>
      </c>
      <c r="D47" s="344">
        <v>0.20622799999999999</v>
      </c>
      <c r="E47" s="305"/>
      <c r="F47" s="305" t="s">
        <v>410</v>
      </c>
      <c r="G47" s="305" t="s">
        <v>410</v>
      </c>
      <c r="H47" s="304" t="s">
        <v>410</v>
      </c>
      <c r="I47" s="345">
        <v>2005</v>
      </c>
      <c r="J47" s="354">
        <v>1022</v>
      </c>
      <c r="K47" s="354">
        <v>12</v>
      </c>
      <c r="L47" s="352">
        <f t="shared" si="0"/>
        <v>1034</v>
      </c>
      <c r="M47" s="317">
        <v>3</v>
      </c>
      <c r="N47" s="306">
        <v>2</v>
      </c>
      <c r="O47" s="318">
        <v>2</v>
      </c>
      <c r="P47" s="317">
        <v>3</v>
      </c>
      <c r="Q47" s="306">
        <v>3</v>
      </c>
      <c r="R47" s="306">
        <v>2</v>
      </c>
      <c r="S47" s="306">
        <v>2</v>
      </c>
      <c r="T47" s="318">
        <v>3</v>
      </c>
      <c r="U47" s="317">
        <v>2</v>
      </c>
      <c r="V47" s="306">
        <v>2</v>
      </c>
      <c r="W47" s="318">
        <v>2</v>
      </c>
      <c r="X47" s="317">
        <v>3</v>
      </c>
      <c r="Y47" s="306">
        <v>3</v>
      </c>
      <c r="Z47" s="306">
        <v>3</v>
      </c>
      <c r="AA47" s="318">
        <v>3</v>
      </c>
      <c r="AB47" s="314"/>
      <c r="AD47" s="308">
        <v>20</v>
      </c>
      <c r="AE47" s="308" t="s">
        <v>478</v>
      </c>
      <c r="AF47" s="328">
        <v>123562545372801</v>
      </c>
      <c r="AG47" s="337">
        <v>0.19992299999999999</v>
      </c>
      <c r="AH47" s="302">
        <v>2005</v>
      </c>
      <c r="AI47" s="308">
        <v>2</v>
      </c>
      <c r="AJ47" s="308">
        <v>1</v>
      </c>
      <c r="AK47" s="308">
        <v>2</v>
      </c>
      <c r="AL47" s="308">
        <v>3</v>
      </c>
      <c r="AM47" s="308">
        <v>2</v>
      </c>
      <c r="AN47" s="308">
        <v>2</v>
      </c>
      <c r="AO47" s="308">
        <v>2</v>
      </c>
      <c r="AP47" s="308">
        <v>3</v>
      </c>
      <c r="AQ47" s="308">
        <v>3</v>
      </c>
      <c r="AR47" s="308">
        <v>1</v>
      </c>
      <c r="AS47" s="308">
        <v>1</v>
      </c>
      <c r="AT47" s="308">
        <v>3</v>
      </c>
      <c r="AU47" s="308">
        <v>3</v>
      </c>
      <c r="AV47" s="308">
        <v>3</v>
      </c>
      <c r="AW47" s="308">
        <v>3</v>
      </c>
      <c r="AX47" s="302">
        <v>1222</v>
      </c>
      <c r="AY47" s="302">
        <v>218</v>
      </c>
      <c r="AZ47" s="302">
        <v>1.3</v>
      </c>
      <c r="BA47" s="308" t="s">
        <v>479</v>
      </c>
      <c r="BB47" s="334">
        <v>38415</v>
      </c>
    </row>
    <row r="48" spans="1:54" x14ac:dyDescent="0.3">
      <c r="A48" s="340" t="s">
        <v>416</v>
      </c>
      <c r="B48" s="340">
        <v>22</v>
      </c>
      <c r="C48" s="339">
        <v>123538845350502</v>
      </c>
      <c r="D48" s="344">
        <v>0.154032</v>
      </c>
      <c r="E48" s="307"/>
      <c r="F48" s="307"/>
      <c r="G48" s="307"/>
      <c r="H48" s="342" t="s">
        <v>410</v>
      </c>
      <c r="I48" s="345">
        <v>1994</v>
      </c>
      <c r="J48" s="354">
        <v>763</v>
      </c>
      <c r="K48" s="354">
        <v>37</v>
      </c>
      <c r="L48" s="352">
        <f t="shared" si="0"/>
        <v>800</v>
      </c>
      <c r="M48" s="317">
        <v>2</v>
      </c>
      <c r="N48" s="306">
        <v>1</v>
      </c>
      <c r="O48" s="318">
        <v>1</v>
      </c>
      <c r="P48" s="317">
        <v>2</v>
      </c>
      <c r="Q48" s="306">
        <v>2</v>
      </c>
      <c r="R48" s="306">
        <v>2</v>
      </c>
      <c r="S48" s="306">
        <v>2</v>
      </c>
      <c r="T48" s="318">
        <v>2</v>
      </c>
      <c r="U48" s="317">
        <v>2</v>
      </c>
      <c r="V48" s="306">
        <v>1</v>
      </c>
      <c r="W48" s="318">
        <v>1</v>
      </c>
      <c r="X48" s="317">
        <v>2</v>
      </c>
      <c r="Y48" s="306">
        <v>2</v>
      </c>
      <c r="Z48" s="306">
        <v>2</v>
      </c>
      <c r="AA48" s="318">
        <v>2</v>
      </c>
      <c r="AB48" s="349" t="s">
        <v>485</v>
      </c>
      <c r="AD48" s="308">
        <v>21</v>
      </c>
      <c r="AE48" s="308" t="s">
        <v>478</v>
      </c>
      <c r="AF48" s="328">
        <v>123562545372802</v>
      </c>
      <c r="AG48" s="337">
        <v>0.20622799999999999</v>
      </c>
      <c r="AH48" s="302">
        <v>2005</v>
      </c>
      <c r="AI48" s="308">
        <v>3</v>
      </c>
      <c r="AJ48" s="308">
        <v>2</v>
      </c>
      <c r="AK48" s="308">
        <v>2</v>
      </c>
      <c r="AL48" s="308">
        <v>3</v>
      </c>
      <c r="AM48" s="308">
        <v>3</v>
      </c>
      <c r="AN48" s="308">
        <v>2</v>
      </c>
      <c r="AO48" s="308">
        <v>2</v>
      </c>
      <c r="AP48" s="308">
        <v>3</v>
      </c>
      <c r="AQ48" s="308">
        <v>2</v>
      </c>
      <c r="AR48" s="308">
        <v>2</v>
      </c>
      <c r="AS48" s="308">
        <v>2</v>
      </c>
      <c r="AT48" s="308">
        <v>3</v>
      </c>
      <c r="AU48" s="308">
        <v>3</v>
      </c>
      <c r="AV48" s="308">
        <v>3</v>
      </c>
      <c r="AW48" s="308">
        <v>3</v>
      </c>
      <c r="AX48" s="302">
        <v>1022</v>
      </c>
      <c r="AY48" s="302">
        <v>12</v>
      </c>
      <c r="AZ48" s="302">
        <v>1.2</v>
      </c>
      <c r="BA48" s="308" t="s">
        <v>480</v>
      </c>
      <c r="BB48" s="334">
        <v>38415</v>
      </c>
    </row>
    <row r="49" spans="1:58" x14ac:dyDescent="0.3">
      <c r="A49" s="340" t="s">
        <v>418</v>
      </c>
      <c r="B49" s="340">
        <v>1</v>
      </c>
      <c r="C49" s="340">
        <v>545</v>
      </c>
      <c r="D49" s="344">
        <v>0.54103900000000005</v>
      </c>
      <c r="E49" s="305"/>
      <c r="F49" s="305" t="s">
        <v>410</v>
      </c>
      <c r="G49" s="305" t="s">
        <v>410</v>
      </c>
      <c r="H49" s="305" t="s">
        <v>410</v>
      </c>
      <c r="I49" s="346">
        <v>2012</v>
      </c>
      <c r="J49" s="354">
        <v>5818.9</v>
      </c>
      <c r="K49" s="354">
        <v>206.9</v>
      </c>
      <c r="L49" s="352">
        <f t="shared" si="0"/>
        <v>6025.7999999999993</v>
      </c>
      <c r="M49" s="317">
        <v>2</v>
      </c>
      <c r="N49" s="306">
        <v>2</v>
      </c>
      <c r="O49" s="318">
        <v>3</v>
      </c>
      <c r="P49" s="317">
        <v>2</v>
      </c>
      <c r="Q49" s="306">
        <v>3</v>
      </c>
      <c r="R49" s="306">
        <v>3</v>
      </c>
      <c r="S49" s="306">
        <v>2</v>
      </c>
      <c r="T49" s="318">
        <v>3</v>
      </c>
      <c r="U49" s="317">
        <v>1</v>
      </c>
      <c r="V49" s="306">
        <v>3</v>
      </c>
      <c r="W49" s="318">
        <v>1</v>
      </c>
      <c r="X49" s="317">
        <v>2</v>
      </c>
      <c r="Y49" s="306">
        <v>2</v>
      </c>
      <c r="Z49" s="306">
        <v>3</v>
      </c>
      <c r="AA49" s="318">
        <v>2</v>
      </c>
      <c r="AB49" s="314"/>
      <c r="AD49" s="308">
        <v>22</v>
      </c>
      <c r="AE49" s="308" t="s">
        <v>458</v>
      </c>
      <c r="AF49" s="328">
        <v>123538845350502</v>
      </c>
      <c r="AG49" s="337">
        <v>0.154032</v>
      </c>
      <c r="AH49" s="302">
        <v>1994</v>
      </c>
      <c r="AI49" s="308">
        <v>2</v>
      </c>
      <c r="AJ49" s="308">
        <v>1</v>
      </c>
      <c r="AK49" s="308">
        <v>1</v>
      </c>
      <c r="AL49" s="308">
        <v>2</v>
      </c>
      <c r="AM49" s="308">
        <v>2</v>
      </c>
      <c r="AN49" s="308">
        <v>2</v>
      </c>
      <c r="AO49" s="308">
        <v>2</v>
      </c>
      <c r="AP49" s="308">
        <v>2</v>
      </c>
      <c r="AQ49" s="308">
        <v>2</v>
      </c>
      <c r="AR49" s="308">
        <v>1</v>
      </c>
      <c r="AS49" s="308">
        <v>1</v>
      </c>
      <c r="AT49" s="308">
        <v>2</v>
      </c>
      <c r="AU49" s="308">
        <v>2</v>
      </c>
      <c r="AV49" s="308">
        <v>2</v>
      </c>
      <c r="AW49" s="308">
        <v>2</v>
      </c>
      <c r="AX49" s="302">
        <v>763</v>
      </c>
      <c r="AY49" s="302">
        <v>37</v>
      </c>
      <c r="AZ49" s="302">
        <v>0</v>
      </c>
      <c r="BA49" s="308" t="s">
        <v>481</v>
      </c>
      <c r="BB49" s="334">
        <v>34540</v>
      </c>
    </row>
    <row r="50" spans="1:58" x14ac:dyDescent="0.3">
      <c r="A50" s="340" t="s">
        <v>418</v>
      </c>
      <c r="B50" s="341">
        <v>2</v>
      </c>
      <c r="C50" s="341">
        <v>20618</v>
      </c>
      <c r="D50" s="347">
        <v>0.545566</v>
      </c>
      <c r="E50" s="305"/>
      <c r="F50" s="305" t="s">
        <v>410</v>
      </c>
      <c r="G50" s="305" t="s">
        <v>410</v>
      </c>
      <c r="H50" s="305" t="s">
        <v>410</v>
      </c>
      <c r="I50" s="348">
        <v>2010</v>
      </c>
      <c r="J50" s="354">
        <v>3781.29</v>
      </c>
      <c r="K50" s="354">
        <v>699.44</v>
      </c>
      <c r="L50" s="352">
        <f t="shared" si="0"/>
        <v>4480.7299999999996</v>
      </c>
      <c r="M50" s="317">
        <v>2</v>
      </c>
      <c r="N50" s="306">
        <v>2</v>
      </c>
      <c r="O50" s="318">
        <v>2</v>
      </c>
      <c r="P50" s="317">
        <v>2</v>
      </c>
      <c r="Q50" s="306">
        <v>3</v>
      </c>
      <c r="R50" s="306">
        <v>3</v>
      </c>
      <c r="S50" s="306">
        <v>2</v>
      </c>
      <c r="T50" s="318">
        <v>3</v>
      </c>
      <c r="U50" s="317">
        <v>1</v>
      </c>
      <c r="V50" s="306">
        <v>2</v>
      </c>
      <c r="W50" s="318">
        <v>1</v>
      </c>
      <c r="X50" s="317">
        <v>2</v>
      </c>
      <c r="Y50" s="306">
        <v>2</v>
      </c>
      <c r="Z50" s="306">
        <v>2</v>
      </c>
      <c r="AA50" s="318">
        <v>2</v>
      </c>
      <c r="AB50" s="314"/>
      <c r="AD50" s="308"/>
      <c r="AE50" s="308"/>
      <c r="AF50" s="328"/>
      <c r="AG50" s="338"/>
      <c r="AH50" s="308"/>
      <c r="AI50" s="308"/>
      <c r="AJ50" s="308"/>
      <c r="AK50" s="308"/>
      <c r="AL50" s="308"/>
      <c r="AM50" s="308"/>
      <c r="AN50" s="308"/>
      <c r="AO50" s="308"/>
      <c r="AP50" s="308"/>
      <c r="AQ50" s="308"/>
      <c r="AR50" s="308"/>
      <c r="AS50" s="308"/>
      <c r="AT50" s="308"/>
      <c r="AU50" s="308"/>
      <c r="AV50" s="308"/>
      <c r="AW50" s="308"/>
      <c r="AX50" s="308"/>
      <c r="AY50" s="335"/>
      <c r="AZ50" s="42"/>
      <c r="BA50" s="42"/>
      <c r="BB50" s="42"/>
      <c r="BC50" s="42"/>
      <c r="BD50" s="42"/>
      <c r="BF50" s="328"/>
    </row>
    <row r="51" spans="1:58" x14ac:dyDescent="0.3">
      <c r="A51" s="340" t="s">
        <v>418</v>
      </c>
      <c r="B51" s="340">
        <v>3</v>
      </c>
      <c r="C51" s="340">
        <v>534</v>
      </c>
      <c r="D51" s="347">
        <v>0.62901300000000004</v>
      </c>
      <c r="E51" s="305" t="s">
        <v>410</v>
      </c>
      <c r="F51" s="305" t="s">
        <v>410</v>
      </c>
      <c r="G51" s="305" t="s">
        <v>410</v>
      </c>
      <c r="H51" s="305" t="s">
        <v>410</v>
      </c>
      <c r="I51" s="346">
        <v>2003</v>
      </c>
      <c r="J51" s="354">
        <v>15059.4</v>
      </c>
      <c r="K51" s="354">
        <v>445.6</v>
      </c>
      <c r="L51" s="352">
        <f t="shared" si="0"/>
        <v>15505</v>
      </c>
      <c r="M51" s="317">
        <v>1</v>
      </c>
      <c r="N51" s="306">
        <v>2</v>
      </c>
      <c r="O51" s="318">
        <v>2</v>
      </c>
      <c r="P51" s="317">
        <v>1</v>
      </c>
      <c r="Q51" s="306">
        <v>2</v>
      </c>
      <c r="R51" s="306">
        <v>2</v>
      </c>
      <c r="S51" s="306">
        <v>2</v>
      </c>
      <c r="T51" s="318">
        <v>2</v>
      </c>
      <c r="U51" s="317">
        <v>1</v>
      </c>
      <c r="V51" s="306">
        <v>1</v>
      </c>
      <c r="W51" s="318">
        <v>1</v>
      </c>
      <c r="X51" s="317">
        <v>1</v>
      </c>
      <c r="Y51" s="306">
        <v>1</v>
      </c>
      <c r="Z51" s="306">
        <v>1</v>
      </c>
      <c r="AA51" s="318">
        <v>2</v>
      </c>
      <c r="AB51" s="314"/>
      <c r="AD51" s="308" t="s">
        <v>482</v>
      </c>
      <c r="AE51" s="302"/>
      <c r="AF51" s="308" t="s">
        <v>483</v>
      </c>
      <c r="AG51" s="337" t="s">
        <v>450</v>
      </c>
      <c r="AH51" s="328" t="s">
        <v>484</v>
      </c>
      <c r="AI51" s="308" t="s">
        <v>104</v>
      </c>
      <c r="AJ51" s="308" t="s">
        <v>105</v>
      </c>
      <c r="AK51" s="308" t="s">
        <v>106</v>
      </c>
      <c r="AL51" s="308" t="s">
        <v>107</v>
      </c>
      <c r="AM51" s="308" t="s">
        <v>108</v>
      </c>
      <c r="AN51" s="308" t="s">
        <v>158</v>
      </c>
      <c r="AO51" s="308" t="s">
        <v>155</v>
      </c>
      <c r="AP51" s="308" t="s">
        <v>156</v>
      </c>
      <c r="AQ51" s="308" t="s">
        <v>110</v>
      </c>
      <c r="AR51" s="308" t="s">
        <v>111</v>
      </c>
      <c r="AS51" s="308" t="s">
        <v>112</v>
      </c>
      <c r="AT51" s="308" t="s">
        <v>424</v>
      </c>
      <c r="AU51" s="308" t="s">
        <v>425</v>
      </c>
      <c r="AV51" s="308" t="s">
        <v>426</v>
      </c>
      <c r="AW51" s="308" t="s">
        <v>427</v>
      </c>
      <c r="AX51" s="302" t="s">
        <v>446</v>
      </c>
      <c r="AY51" s="302" t="s">
        <v>447</v>
      </c>
      <c r="AZ51" s="302" t="s">
        <v>448</v>
      </c>
      <c r="BA51" s="302" t="s">
        <v>451</v>
      </c>
      <c r="BB51" s="302" t="s">
        <v>445</v>
      </c>
    </row>
    <row r="52" spans="1:58" ht="15.6" x14ac:dyDescent="0.3">
      <c r="A52" s="340"/>
      <c r="B52" s="340"/>
      <c r="C52" s="104"/>
      <c r="D52" s="306"/>
      <c r="E52" s="305"/>
      <c r="F52" s="305"/>
      <c r="G52" s="305"/>
      <c r="H52" s="305"/>
      <c r="I52" s="306"/>
      <c r="J52" s="306"/>
      <c r="K52" s="306"/>
      <c r="L52" s="353" t="str">
        <f t="shared" si="0"/>
        <v/>
      </c>
      <c r="M52" s="317"/>
      <c r="N52" s="306"/>
      <c r="O52" s="318"/>
      <c r="P52" s="317"/>
      <c r="Q52" s="306"/>
      <c r="R52" s="306"/>
      <c r="S52" s="306"/>
      <c r="T52" s="318"/>
      <c r="U52" s="317"/>
      <c r="V52" s="306"/>
      <c r="W52" s="318"/>
      <c r="X52" s="317"/>
      <c r="Y52" s="306"/>
      <c r="Z52" s="306"/>
      <c r="AA52" s="318"/>
      <c r="AB52" s="314"/>
      <c r="AD52" s="308">
        <v>1</v>
      </c>
      <c r="AE52" s="302"/>
      <c r="AF52" s="308">
        <v>545</v>
      </c>
      <c r="AG52" s="337">
        <v>0.54103900000000005</v>
      </c>
      <c r="AH52" s="328">
        <v>2012</v>
      </c>
      <c r="AI52" s="308">
        <v>2</v>
      </c>
      <c r="AJ52" s="308">
        <v>2</v>
      </c>
      <c r="AK52" s="308">
        <v>3</v>
      </c>
      <c r="AL52" s="308">
        <v>2</v>
      </c>
      <c r="AM52" s="308">
        <v>3</v>
      </c>
      <c r="AN52" s="308">
        <v>3</v>
      </c>
      <c r="AO52" s="308">
        <v>2</v>
      </c>
      <c r="AP52" s="308">
        <v>3</v>
      </c>
      <c r="AQ52" s="308">
        <v>1</v>
      </c>
      <c r="AR52" s="308">
        <v>3</v>
      </c>
      <c r="AS52" s="308">
        <v>1</v>
      </c>
      <c r="AT52" s="308">
        <v>2</v>
      </c>
      <c r="AU52" s="308">
        <v>2</v>
      </c>
      <c r="AV52" s="308">
        <v>3</v>
      </c>
      <c r="AW52" s="308">
        <v>2</v>
      </c>
      <c r="AX52" s="302">
        <v>5818.9</v>
      </c>
      <c r="AY52" s="302">
        <v>206.9</v>
      </c>
      <c r="AZ52" s="302">
        <v>2.25</v>
      </c>
      <c r="BA52" s="302">
        <v>2856.6875920000002</v>
      </c>
      <c r="BB52" s="336">
        <v>41086</v>
      </c>
    </row>
    <row r="53" spans="1:58" ht="15.6" x14ac:dyDescent="0.3">
      <c r="A53" s="340"/>
      <c r="B53" s="340"/>
      <c r="C53" s="104"/>
      <c r="D53" s="306"/>
      <c r="E53" s="305"/>
      <c r="F53" s="305"/>
      <c r="G53" s="305"/>
      <c r="H53" s="305"/>
      <c r="I53" s="306"/>
      <c r="J53" s="306"/>
      <c r="K53" s="306"/>
      <c r="L53" s="353" t="str">
        <f t="shared" si="0"/>
        <v/>
      </c>
      <c r="M53" s="317"/>
      <c r="N53" s="306"/>
      <c r="O53" s="318"/>
      <c r="P53" s="317"/>
      <c r="Q53" s="306"/>
      <c r="R53" s="306"/>
      <c r="S53" s="306"/>
      <c r="T53" s="318"/>
      <c r="U53" s="317"/>
      <c r="V53" s="306"/>
      <c r="W53" s="318"/>
      <c r="X53" s="317"/>
      <c r="Y53" s="306"/>
      <c r="Z53" s="306"/>
      <c r="AA53" s="318"/>
      <c r="AB53" s="314"/>
      <c r="AD53" s="329">
        <v>2</v>
      </c>
      <c r="AE53" s="302"/>
      <c r="AF53" s="329">
        <v>20618</v>
      </c>
      <c r="AG53" s="337">
        <v>0.545566</v>
      </c>
      <c r="AH53" s="330">
        <v>2010</v>
      </c>
      <c r="AI53" s="329">
        <v>2</v>
      </c>
      <c r="AJ53" s="329">
        <v>2</v>
      </c>
      <c r="AK53" s="329">
        <v>2</v>
      </c>
      <c r="AL53" s="329">
        <v>2</v>
      </c>
      <c r="AM53" s="329">
        <v>3</v>
      </c>
      <c r="AN53" s="329">
        <v>3</v>
      </c>
      <c r="AO53" s="329">
        <v>2</v>
      </c>
      <c r="AP53" s="329">
        <v>3</v>
      </c>
      <c r="AQ53" s="329">
        <v>1</v>
      </c>
      <c r="AR53" s="329">
        <v>2</v>
      </c>
      <c r="AS53" s="329">
        <v>1</v>
      </c>
      <c r="AT53" s="329">
        <v>2</v>
      </c>
      <c r="AU53" s="329">
        <v>2</v>
      </c>
      <c r="AV53" s="329">
        <v>2</v>
      </c>
      <c r="AW53" s="329">
        <v>2</v>
      </c>
      <c r="AX53" s="302">
        <v>3781.29</v>
      </c>
      <c r="AY53" s="302">
        <v>699.44</v>
      </c>
      <c r="AZ53" s="302">
        <v>1.42</v>
      </c>
      <c r="BA53" s="302">
        <v>2880.586382</v>
      </c>
      <c r="BB53" s="336">
        <v>40400</v>
      </c>
    </row>
    <row r="54" spans="1:58" ht="15.6" x14ac:dyDescent="0.3">
      <c r="A54" s="343"/>
      <c r="B54" s="343"/>
      <c r="C54" s="104"/>
      <c r="D54" s="306"/>
      <c r="E54" s="305"/>
      <c r="F54" s="305"/>
      <c r="G54" s="305"/>
      <c r="H54" s="305"/>
      <c r="I54" s="306"/>
      <c r="J54" s="306"/>
      <c r="K54" s="306"/>
      <c r="L54" s="353" t="str">
        <f t="shared" si="0"/>
        <v/>
      </c>
      <c r="M54" s="317"/>
      <c r="N54" s="306"/>
      <c r="O54" s="318"/>
      <c r="P54" s="317"/>
      <c r="Q54" s="306"/>
      <c r="R54" s="306"/>
      <c r="S54" s="306"/>
      <c r="T54" s="318"/>
      <c r="U54" s="317"/>
      <c r="V54" s="306"/>
      <c r="W54" s="318"/>
      <c r="X54" s="317"/>
      <c r="Y54" s="306"/>
      <c r="Z54" s="306"/>
      <c r="AA54" s="318"/>
      <c r="AB54" s="314"/>
      <c r="AD54" s="308">
        <v>3</v>
      </c>
      <c r="AE54" s="302"/>
      <c r="AF54" s="308">
        <v>534</v>
      </c>
      <c r="AG54" s="337">
        <v>0.62901300000000004</v>
      </c>
      <c r="AH54" s="328">
        <v>2003</v>
      </c>
      <c r="AI54" s="308">
        <v>1</v>
      </c>
      <c r="AJ54" s="308">
        <v>2</v>
      </c>
      <c r="AK54" s="308">
        <v>2</v>
      </c>
      <c r="AL54" s="308">
        <v>1</v>
      </c>
      <c r="AM54" s="308">
        <v>2</v>
      </c>
      <c r="AN54" s="308">
        <v>2</v>
      </c>
      <c r="AO54" s="308">
        <v>2</v>
      </c>
      <c r="AP54" s="308">
        <v>2</v>
      </c>
      <c r="AQ54" s="308">
        <v>1</v>
      </c>
      <c r="AR54" s="308">
        <v>1</v>
      </c>
      <c r="AS54" s="308">
        <v>1</v>
      </c>
      <c r="AT54" s="308">
        <v>1</v>
      </c>
      <c r="AU54" s="308">
        <v>1</v>
      </c>
      <c r="AV54" s="308">
        <v>1</v>
      </c>
      <c r="AW54" s="308">
        <v>2</v>
      </c>
      <c r="AX54" s="302">
        <v>15059.4</v>
      </c>
      <c r="AY54" s="302">
        <v>445.6</v>
      </c>
      <c r="AZ54" s="302">
        <v>1.38</v>
      </c>
      <c r="BA54" s="302">
        <v>3321.1891599999999</v>
      </c>
      <c r="BB54" s="336">
        <v>37840</v>
      </c>
    </row>
    <row r="55" spans="1:58" ht="15" customHeight="1" x14ac:dyDescent="0.3">
      <c r="A55" s="343"/>
      <c r="B55" s="343"/>
      <c r="C55" s="104"/>
      <c r="D55" s="306"/>
      <c r="E55" s="305"/>
      <c r="F55" s="305"/>
      <c r="G55" s="305"/>
      <c r="H55" s="305"/>
      <c r="I55" s="306"/>
      <c r="J55" s="306"/>
      <c r="K55" s="306"/>
      <c r="L55" s="353" t="str">
        <f t="shared" si="0"/>
        <v/>
      </c>
      <c r="M55" s="317"/>
      <c r="N55" s="306"/>
      <c r="O55" s="318"/>
      <c r="P55" s="317"/>
      <c r="Q55" s="306"/>
      <c r="R55" s="306"/>
      <c r="S55" s="306"/>
      <c r="T55" s="318"/>
      <c r="U55" s="317"/>
      <c r="V55" s="306"/>
      <c r="W55" s="318"/>
      <c r="X55" s="317"/>
      <c r="Y55" s="306"/>
      <c r="Z55" s="306"/>
      <c r="AA55" s="318"/>
      <c r="AB55" s="314"/>
      <c r="BA55" s="42"/>
      <c r="BB55" s="42"/>
    </row>
    <row r="56" spans="1:58" ht="15" customHeight="1" x14ac:dyDescent="0.3">
      <c r="A56" s="343"/>
      <c r="B56" s="343"/>
      <c r="C56" s="104"/>
      <c r="D56" s="306"/>
      <c r="E56" s="305"/>
      <c r="F56" s="305"/>
      <c r="G56" s="305"/>
      <c r="H56" s="305"/>
      <c r="I56" s="306"/>
      <c r="J56" s="306"/>
      <c r="K56" s="306"/>
      <c r="L56" s="353" t="str">
        <f t="shared" si="0"/>
        <v/>
      </c>
      <c r="M56" s="317"/>
      <c r="N56" s="306"/>
      <c r="O56" s="318"/>
      <c r="P56" s="317"/>
      <c r="Q56" s="306"/>
      <c r="R56" s="306"/>
      <c r="S56" s="306"/>
      <c r="T56" s="318"/>
      <c r="U56" s="317"/>
      <c r="V56" s="306"/>
      <c r="W56" s="318"/>
      <c r="X56" s="317"/>
      <c r="Y56" s="306"/>
      <c r="Z56" s="306"/>
      <c r="AA56" s="318"/>
      <c r="AB56" s="314"/>
      <c r="BA56" s="42"/>
      <c r="BB56" s="42"/>
    </row>
    <row r="57" spans="1:58" x14ac:dyDescent="0.3">
      <c r="A57" s="39">
        <f>COUNTA(A27:A56)</f>
        <v>25</v>
      </c>
      <c r="C57" s="75"/>
      <c r="D57" s="267"/>
      <c r="E57" s="33"/>
      <c r="F57" s="33"/>
      <c r="G57" s="33"/>
      <c r="H57" s="33"/>
      <c r="I57" s="33"/>
      <c r="J57" s="33"/>
      <c r="K57" s="19"/>
      <c r="L57" s="19"/>
      <c r="M57" s="74"/>
      <c r="N57" s="74"/>
      <c r="O57" s="74"/>
      <c r="P57" s="74"/>
      <c r="Q57" s="74"/>
      <c r="R57" s="74"/>
      <c r="S57" s="74"/>
      <c r="T57" s="74"/>
      <c r="U57" s="74"/>
      <c r="V57" s="74"/>
      <c r="W57" s="74"/>
      <c r="BA57" s="42"/>
      <c r="BB57" s="42"/>
    </row>
    <row r="58" spans="1:58" x14ac:dyDescent="0.3">
      <c r="A58" s="312"/>
      <c r="B58" s="322" t="s">
        <v>174</v>
      </c>
      <c r="C58" s="322"/>
      <c r="D58" s="312"/>
      <c r="E58" s="312"/>
      <c r="F58" s="312"/>
      <c r="G58" s="322"/>
      <c r="H58" s="322"/>
      <c r="I58" s="312"/>
      <c r="J58" s="312"/>
      <c r="K58" s="312"/>
      <c r="L58" s="312"/>
      <c r="M58" s="312"/>
      <c r="N58" s="312"/>
      <c r="O58" s="312"/>
      <c r="P58" s="312"/>
      <c r="Q58" s="312"/>
      <c r="R58" s="312"/>
      <c r="S58" s="312"/>
      <c r="T58" s="312"/>
      <c r="U58" s="79"/>
      <c r="V58" s="79"/>
      <c r="W58" s="312"/>
      <c r="X58" s="312"/>
      <c r="Y58" s="312"/>
      <c r="Z58" s="21"/>
      <c r="AA58" s="21"/>
      <c r="AB58" s="21"/>
      <c r="BA58" s="42"/>
      <c r="BB58" s="42"/>
    </row>
    <row r="59" spans="1:58" x14ac:dyDescent="0.3">
      <c r="A59" s="42"/>
      <c r="B59" s="323" t="s">
        <v>104</v>
      </c>
      <c r="C59" s="324" t="s">
        <v>171</v>
      </c>
      <c r="D59" s="42"/>
      <c r="E59" s="42"/>
      <c r="F59" s="325" t="s">
        <v>107</v>
      </c>
      <c r="G59" s="324" t="s">
        <v>172</v>
      </c>
      <c r="H59" s="42"/>
      <c r="I59" s="42"/>
      <c r="J59" s="42"/>
      <c r="K59" s="326" t="s">
        <v>110</v>
      </c>
      <c r="L59" s="324" t="s">
        <v>173</v>
      </c>
      <c r="M59" s="312"/>
      <c r="N59" s="42"/>
      <c r="O59" s="42"/>
      <c r="P59" s="42"/>
      <c r="Q59" s="325" t="s">
        <v>424</v>
      </c>
      <c r="R59" s="324" t="s">
        <v>436</v>
      </c>
      <c r="S59" s="42"/>
      <c r="T59" s="42"/>
      <c r="U59" s="42"/>
      <c r="V59" s="79"/>
      <c r="W59" s="42"/>
      <c r="X59" s="42"/>
      <c r="Y59" s="42"/>
      <c r="BA59" s="42"/>
      <c r="BB59" s="42"/>
    </row>
    <row r="60" spans="1:58" x14ac:dyDescent="0.3">
      <c r="A60" s="42"/>
      <c r="B60" s="323" t="s">
        <v>105</v>
      </c>
      <c r="C60" s="324" t="s">
        <v>181</v>
      </c>
      <c r="D60" s="42"/>
      <c r="E60" s="42"/>
      <c r="F60" s="323" t="s">
        <v>108</v>
      </c>
      <c r="G60" s="324" t="s">
        <v>183</v>
      </c>
      <c r="H60" s="42"/>
      <c r="I60" s="42"/>
      <c r="J60" s="42"/>
      <c r="K60" s="326" t="s">
        <v>111</v>
      </c>
      <c r="L60" s="324" t="s">
        <v>187</v>
      </c>
      <c r="M60" s="324"/>
      <c r="N60" s="42"/>
      <c r="O60" s="42"/>
      <c r="P60" s="42"/>
      <c r="Q60" s="325" t="s">
        <v>425</v>
      </c>
      <c r="R60" s="324" t="s">
        <v>437</v>
      </c>
      <c r="S60" s="42"/>
      <c r="T60" s="42"/>
      <c r="U60" s="42"/>
      <c r="V60" s="324"/>
      <c r="W60" s="42"/>
      <c r="X60" s="42"/>
      <c r="Y60" s="42"/>
      <c r="BA60" s="42"/>
      <c r="BB60" s="42"/>
    </row>
    <row r="61" spans="1:58" x14ac:dyDescent="0.3">
      <c r="A61" s="42"/>
      <c r="B61" s="323" t="s">
        <v>106</v>
      </c>
      <c r="C61" s="324" t="s">
        <v>182</v>
      </c>
      <c r="D61" s="42"/>
      <c r="E61" s="42"/>
      <c r="F61" s="323" t="s">
        <v>109</v>
      </c>
      <c r="G61" s="324" t="s">
        <v>184</v>
      </c>
      <c r="H61" s="42"/>
      <c r="I61" s="42"/>
      <c r="J61" s="42"/>
      <c r="K61" s="326" t="s">
        <v>112</v>
      </c>
      <c r="L61" s="324" t="s">
        <v>188</v>
      </c>
      <c r="M61" s="324"/>
      <c r="N61" s="42"/>
      <c r="O61" s="42"/>
      <c r="P61" s="42"/>
      <c r="Q61" s="325" t="s">
        <v>426</v>
      </c>
      <c r="R61" s="324" t="s">
        <v>438</v>
      </c>
      <c r="S61" s="42"/>
      <c r="T61" s="42"/>
      <c r="U61" s="42"/>
      <c r="V61" s="324"/>
      <c r="W61" s="42"/>
      <c r="X61" s="42"/>
      <c r="Y61" s="42"/>
      <c r="BA61" s="42"/>
      <c r="BB61" s="42"/>
    </row>
    <row r="62" spans="1:58" x14ac:dyDescent="0.3">
      <c r="A62" s="42"/>
      <c r="B62" s="42"/>
      <c r="C62" s="327"/>
      <c r="D62" s="42"/>
      <c r="E62" s="323"/>
      <c r="F62" s="323" t="s">
        <v>155</v>
      </c>
      <c r="G62" s="324" t="s">
        <v>185</v>
      </c>
      <c r="H62" s="42"/>
      <c r="I62" s="42"/>
      <c r="J62" s="42"/>
      <c r="K62" s="42"/>
      <c r="L62" s="42"/>
      <c r="M62" s="324"/>
      <c r="N62" s="42"/>
      <c r="O62" s="42"/>
      <c r="P62" s="42"/>
      <c r="Q62" s="325" t="s">
        <v>427</v>
      </c>
      <c r="R62" s="324" t="s">
        <v>439</v>
      </c>
      <c r="S62" s="42"/>
      <c r="T62" s="42"/>
      <c r="U62" s="42"/>
      <c r="V62" s="42"/>
      <c r="W62" s="42"/>
      <c r="X62" s="42"/>
      <c r="Y62" s="42"/>
      <c r="Z62" s="61"/>
      <c r="BA62" s="42"/>
      <c r="BB62" s="42"/>
    </row>
    <row r="63" spans="1:58" ht="15" customHeight="1" x14ac:dyDescent="0.3">
      <c r="A63" s="42"/>
      <c r="B63" s="42"/>
      <c r="C63" s="303"/>
      <c r="D63" s="42"/>
      <c r="E63" s="323"/>
      <c r="F63" s="323" t="s">
        <v>156</v>
      </c>
      <c r="G63" s="324" t="s">
        <v>186</v>
      </c>
      <c r="H63" s="42"/>
      <c r="I63" s="42"/>
      <c r="J63" s="42"/>
      <c r="K63" s="42"/>
      <c r="L63" s="42"/>
      <c r="M63" s="324"/>
      <c r="N63" s="42"/>
      <c r="O63" s="42"/>
      <c r="P63" s="42"/>
      <c r="Q63" s="42"/>
      <c r="R63" s="42"/>
      <c r="S63" s="42"/>
      <c r="T63" s="323"/>
      <c r="U63" s="324"/>
      <c r="V63" s="42"/>
      <c r="W63" s="42"/>
      <c r="X63" s="42"/>
      <c r="Y63" s="42"/>
      <c r="Z63" s="6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69"/>
      <c r="BB63" s="269"/>
      <c r="BC63" s="42"/>
      <c r="BD63" s="42"/>
      <c r="BE63" s="42"/>
    </row>
    <row r="64" spans="1:58" ht="15" customHeight="1" x14ac:dyDescent="0.3">
      <c r="A64" s="42"/>
      <c r="B64" s="42"/>
      <c r="C64" s="303"/>
      <c r="D64" s="42"/>
      <c r="E64" s="42"/>
      <c r="F64" s="42"/>
      <c r="G64" s="42"/>
      <c r="H64" s="42"/>
      <c r="I64" s="42"/>
      <c r="J64" s="42"/>
      <c r="K64" s="42"/>
      <c r="L64" s="42"/>
      <c r="M64" s="324"/>
      <c r="N64" s="42"/>
      <c r="O64" s="42"/>
      <c r="P64" s="42"/>
      <c r="Q64" s="42"/>
      <c r="R64" s="42"/>
      <c r="S64" s="42"/>
      <c r="T64" s="42"/>
      <c r="U64" s="42"/>
      <c r="V64" s="42"/>
      <c r="W64" s="42"/>
      <c r="X64" s="42"/>
      <c r="Y64" s="42"/>
      <c r="BA64" s="42"/>
      <c r="BB64" s="42"/>
      <c r="BC64" s="42"/>
      <c r="BD64" s="42"/>
      <c r="BE64" s="42"/>
    </row>
    <row r="65" spans="1:57" ht="15" customHeight="1" x14ac:dyDescent="0.3">
      <c r="A65" s="16"/>
      <c r="B65" s="16"/>
      <c r="C65" s="46"/>
      <c r="D65" s="434" t="s">
        <v>217</v>
      </c>
      <c r="E65" s="434"/>
      <c r="F65" s="434"/>
      <c r="G65" s="434"/>
      <c r="H65" s="434"/>
      <c r="I65" s="434"/>
      <c r="J65" s="434"/>
      <c r="K65" s="434"/>
      <c r="L65" s="434"/>
      <c r="M65" s="434"/>
      <c r="N65" s="434"/>
      <c r="O65" s="434"/>
      <c r="P65" s="434"/>
      <c r="Q65" s="434"/>
      <c r="R65" s="434"/>
      <c r="S65" s="434"/>
      <c r="T65" s="434"/>
      <c r="U65" s="60"/>
      <c r="V65" s="73"/>
      <c r="W65" s="73"/>
      <c r="X65" s="16"/>
      <c r="Y65" s="16"/>
      <c r="Z65" s="16"/>
      <c r="AA65" s="16"/>
      <c r="AB65" s="16"/>
      <c r="BA65" s="42"/>
      <c r="BB65" s="42"/>
      <c r="BC65" s="42"/>
      <c r="BD65" s="42"/>
      <c r="BE65" s="42"/>
    </row>
    <row r="66" spans="1:57" ht="15.6" x14ac:dyDescent="0.3">
      <c r="A66" s="16"/>
      <c r="B66" s="16"/>
      <c r="C66" s="46"/>
      <c r="D66" s="435" t="s">
        <v>435</v>
      </c>
      <c r="E66" s="435"/>
      <c r="F66" s="435"/>
      <c r="G66" s="435"/>
      <c r="H66" s="435"/>
      <c r="I66" s="435"/>
      <c r="J66" s="435"/>
      <c r="K66" s="435"/>
      <c r="L66" s="435"/>
      <c r="M66" s="435"/>
      <c r="N66" s="435"/>
      <c r="O66" s="435"/>
      <c r="P66" s="435"/>
      <c r="Q66" s="435"/>
      <c r="R66" s="435"/>
      <c r="S66" s="435"/>
      <c r="T66" s="435"/>
      <c r="U66" s="60"/>
      <c r="V66" s="73"/>
      <c r="W66" s="73"/>
      <c r="X66" s="16"/>
      <c r="Y66" s="16"/>
      <c r="Z66" s="16"/>
      <c r="AA66" s="16"/>
      <c r="AB66" s="16"/>
      <c r="BA66" s="42"/>
      <c r="BB66" s="42"/>
      <c r="BC66" s="42"/>
      <c r="BD66" s="42"/>
      <c r="BE66" s="42"/>
    </row>
    <row r="67" spans="1:57" s="47" customFormat="1" x14ac:dyDescent="0.3">
      <c r="A67" s="39"/>
      <c r="B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42"/>
      <c r="BB67" s="42"/>
      <c r="BC67" s="303"/>
      <c r="BD67" s="303"/>
      <c r="BE67" s="303"/>
    </row>
    <row r="68" spans="1:57" x14ac:dyDescent="0.3">
      <c r="C68" s="47"/>
      <c r="BA68" s="42"/>
      <c r="BB68" s="42"/>
      <c r="BC68" s="42"/>
      <c r="BD68" s="42"/>
      <c r="BE68" s="42"/>
    </row>
    <row r="69" spans="1:57" x14ac:dyDescent="0.3">
      <c r="C69" s="47"/>
      <c r="BA69" s="42"/>
      <c r="BB69" s="42"/>
      <c r="BC69" s="42"/>
      <c r="BD69" s="42"/>
      <c r="BE69" s="42"/>
    </row>
    <row r="70" spans="1:57" x14ac:dyDescent="0.3">
      <c r="C70" s="47"/>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71"/>
      <c r="BB70" s="171"/>
      <c r="BC70" s="42"/>
      <c r="BD70" s="42"/>
      <c r="BE70" s="42"/>
    </row>
    <row r="71" spans="1:57" x14ac:dyDescent="0.3">
      <c r="C71" s="47"/>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71"/>
      <c r="BB71" s="171"/>
      <c r="BC71" s="42"/>
      <c r="BD71" s="42"/>
      <c r="BE71" s="42"/>
    </row>
    <row r="72" spans="1:57" x14ac:dyDescent="0.3">
      <c r="C72" s="47"/>
      <c r="BA72" s="42"/>
      <c r="BB72" s="42"/>
      <c r="BC72" s="42"/>
      <c r="BD72" s="42"/>
      <c r="BE72" s="42"/>
    </row>
    <row r="73" spans="1:57" x14ac:dyDescent="0.3">
      <c r="C73" s="47"/>
      <c r="BA73" s="42"/>
      <c r="BB73" s="42"/>
      <c r="BC73" s="42"/>
      <c r="BD73" s="42"/>
      <c r="BE73" s="42"/>
    </row>
    <row r="74" spans="1:57" x14ac:dyDescent="0.3">
      <c r="C74" s="47"/>
      <c r="BA74" s="42"/>
      <c r="BB74" s="42"/>
      <c r="BC74" s="42"/>
      <c r="BD74" s="42"/>
      <c r="BE74" s="42"/>
    </row>
    <row r="75" spans="1:57" s="21" customFormat="1" ht="13.5" customHeight="1" x14ac:dyDescent="0.3">
      <c r="A75" s="39"/>
      <c r="B75" s="39"/>
      <c r="C75" s="47"/>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42"/>
      <c r="BB75" s="42"/>
      <c r="BC75" s="269"/>
      <c r="BD75" s="269"/>
      <c r="BE75" s="269"/>
    </row>
    <row r="76" spans="1:57" x14ac:dyDescent="0.3">
      <c r="C76" s="47"/>
      <c r="BA76" s="42"/>
      <c r="BB76" s="42"/>
      <c r="BC76" s="42"/>
      <c r="BD76" s="42"/>
      <c r="BE76" s="42"/>
    </row>
    <row r="77" spans="1:57" x14ac:dyDescent="0.3">
      <c r="C77" s="47"/>
      <c r="AZ77" s="42"/>
      <c r="BA77" s="42"/>
      <c r="BB77" s="42"/>
      <c r="BC77" s="42"/>
      <c r="BD77" s="42"/>
      <c r="BE77" s="42"/>
    </row>
    <row r="78" spans="1:57" x14ac:dyDescent="0.3">
      <c r="C78" s="47"/>
      <c r="AZ78" s="42"/>
      <c r="BA78" s="42"/>
      <c r="BB78" s="42"/>
      <c r="BC78" s="42"/>
      <c r="BD78" s="42"/>
      <c r="BE78" s="42"/>
    </row>
    <row r="79" spans="1:57" x14ac:dyDescent="0.3">
      <c r="C79" s="47"/>
      <c r="AZ79" s="42"/>
      <c r="BA79" s="42"/>
      <c r="BB79" s="42"/>
      <c r="BC79" s="42"/>
      <c r="BD79" s="42"/>
      <c r="BE79" s="42"/>
    </row>
    <row r="80" spans="1:57" x14ac:dyDescent="0.3">
      <c r="C80" s="47"/>
      <c r="AZ80" s="42"/>
      <c r="BA80" s="42"/>
      <c r="BB80" s="42"/>
      <c r="BC80" s="42"/>
      <c r="BD80" s="42"/>
      <c r="BE80" s="42"/>
    </row>
    <row r="81" spans="1:57" x14ac:dyDescent="0.3">
      <c r="C81" s="47"/>
      <c r="BC81" s="42"/>
      <c r="BD81" s="42"/>
      <c r="BE81" s="42"/>
    </row>
    <row r="82" spans="1:57" s="16" customFormat="1" ht="16.5" customHeight="1" x14ac:dyDescent="0.3">
      <c r="A82" s="39"/>
      <c r="B82" s="39"/>
      <c r="C82" s="47"/>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171"/>
      <c r="BD82" s="171"/>
      <c r="BE82" s="171"/>
    </row>
    <row r="83" spans="1:57" s="16" customFormat="1" ht="72" customHeight="1" x14ac:dyDescent="0.3">
      <c r="A83" s="39"/>
      <c r="B83" s="39"/>
      <c r="C83" s="47"/>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171"/>
      <c r="BD83" s="171"/>
      <c r="BE83" s="171"/>
    </row>
    <row r="84" spans="1:57" x14ac:dyDescent="0.3">
      <c r="C84" s="47"/>
      <c r="BC84" s="42"/>
      <c r="BD84" s="42"/>
      <c r="BE84" s="42"/>
    </row>
    <row r="85" spans="1:57" x14ac:dyDescent="0.3">
      <c r="C85" s="47"/>
      <c r="BC85" s="42"/>
      <c r="BD85" s="42"/>
      <c r="BE85" s="42"/>
    </row>
    <row r="86" spans="1:57" x14ac:dyDescent="0.3">
      <c r="C86" s="47"/>
      <c r="BC86" s="42"/>
      <c r="BD86" s="42"/>
      <c r="BE86" s="42"/>
    </row>
    <row r="87" spans="1:57" x14ac:dyDescent="0.3">
      <c r="C87" s="47"/>
      <c r="BC87" s="42"/>
      <c r="BD87" s="42"/>
      <c r="BE87" s="42"/>
    </row>
    <row r="88" spans="1:57" x14ac:dyDescent="0.3">
      <c r="C88" s="47"/>
      <c r="BC88" s="42"/>
      <c r="BD88" s="42"/>
      <c r="BE88" s="42"/>
    </row>
    <row r="89" spans="1:57" x14ac:dyDescent="0.3">
      <c r="C89" s="47"/>
      <c r="BC89" s="42"/>
      <c r="BD89" s="42"/>
      <c r="BE89" s="42"/>
    </row>
    <row r="90" spans="1:57" x14ac:dyDescent="0.3">
      <c r="C90" s="47"/>
      <c r="BC90" s="42"/>
      <c r="BD90" s="42"/>
      <c r="BE90" s="42"/>
    </row>
    <row r="91" spans="1:57" x14ac:dyDescent="0.3">
      <c r="C91" s="47"/>
      <c r="BC91" s="42"/>
      <c r="BD91" s="42"/>
      <c r="BE91" s="42"/>
    </row>
    <row r="92" spans="1:57" x14ac:dyDescent="0.3">
      <c r="C92" s="47"/>
      <c r="BC92" s="42"/>
      <c r="BD92" s="42"/>
      <c r="BE92" s="42"/>
    </row>
    <row r="93" spans="1:57" x14ac:dyDescent="0.3">
      <c r="C93" s="47"/>
    </row>
    <row r="112" spans="3:3" x14ac:dyDescent="0.3">
      <c r="C112" s="39"/>
    </row>
    <row r="129" spans="29:29" x14ac:dyDescent="0.3">
      <c r="AC129" s="39">
        <f>COUNT(AD28:AD54)</f>
        <v>25</v>
      </c>
    </row>
  </sheetData>
  <mergeCells count="36">
    <mergeCell ref="AD26:AE26"/>
    <mergeCell ref="D10:P10"/>
    <mergeCell ref="M25:O25"/>
    <mergeCell ref="P25:T25"/>
    <mergeCell ref="U25:W25"/>
    <mergeCell ref="D20:O20"/>
    <mergeCell ref="Q20:T20"/>
    <mergeCell ref="V20:Z20"/>
    <mergeCell ref="G25:G26"/>
    <mergeCell ref="E24:H24"/>
    <mergeCell ref="X25:AA25"/>
    <mergeCell ref="M24:AA24"/>
    <mergeCell ref="I24:L24"/>
    <mergeCell ref="D65:T65"/>
    <mergeCell ref="D66:T66"/>
    <mergeCell ref="L25:L26"/>
    <mergeCell ref="E25:E26"/>
    <mergeCell ref="F25:F26"/>
    <mergeCell ref="H25:H26"/>
    <mergeCell ref="I25:I26"/>
    <mergeCell ref="C3:J3"/>
    <mergeCell ref="J25:K25"/>
    <mergeCell ref="D6:T6"/>
    <mergeCell ref="D8:R8"/>
    <mergeCell ref="D9:R9"/>
    <mergeCell ref="D14:R14"/>
    <mergeCell ref="D15:R15"/>
    <mergeCell ref="D17:R17"/>
    <mergeCell ref="D18:R18"/>
    <mergeCell ref="D22:T22"/>
    <mergeCell ref="D11:R11"/>
    <mergeCell ref="D12:R12"/>
    <mergeCell ref="D24:D26"/>
    <mergeCell ref="C24:C26"/>
    <mergeCell ref="S8:T8"/>
    <mergeCell ref="S9:T9"/>
  </mergeCells>
  <conditionalFormatting sqref="Q20:T20">
    <cfRule type="expression" dxfId="1" priority="1">
      <formula>$T$18&lt;80</formula>
    </cfRule>
    <cfRule type="expression" dxfId="0" priority="2">
      <formula>OR($T$18="","$R$18"&gt;=80)</formula>
    </cfRule>
  </conditionalFormatting>
  <dataValidations disablePrompts="1" count="1">
    <dataValidation type="list" allowBlank="1" showInputMessage="1" showErrorMessage="1" sqref="Q10:R10">
      <formula1>LU_Passage_Status</formula1>
    </dataValidation>
  </dataValidations>
  <printOptions horizontalCentered="1"/>
  <pageMargins left="0.5" right="0.5" top="0.5" bottom="0.5" header="0.3" footer="0.3"/>
  <pageSetup scale="69" fitToHeight="0" orientation="landscape" r:id="rId1"/>
  <headerFooter>
    <oddFooter>&amp;C&amp;P</oddFooter>
  </headerFooter>
  <rowBreaks count="1" manualBreakCount="1">
    <brk id="20"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 lists'!$C$16:$C$19</xm:f>
          </x14:formula1>
          <xm:sqref>S9:T9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50"/>
  <sheetViews>
    <sheetView topLeftCell="A19" zoomScale="75" zoomScaleNormal="75" zoomScaleSheetLayoutView="40" zoomScalePageLayoutView="40" workbookViewId="0">
      <selection activeCell="O24" sqref="O24"/>
    </sheetView>
  </sheetViews>
  <sheetFormatPr defaultColWidth="9.109375" defaultRowHeight="13.8" x14ac:dyDescent="0.3"/>
  <cols>
    <col min="1" max="1" width="4.6640625" style="19" customWidth="1"/>
    <col min="2" max="2" width="11" style="18" customWidth="1"/>
    <col min="3" max="4" width="9.109375" style="19" customWidth="1"/>
    <col min="5" max="5" width="60.6640625" style="19" customWidth="1"/>
    <col min="6" max="6" width="10.6640625" style="18" customWidth="1"/>
    <col min="7" max="7" width="9.5546875" style="18" customWidth="1"/>
    <col min="8" max="8" width="18.5546875" style="35" hidden="1" customWidth="1"/>
    <col min="9" max="9" width="6.44140625" style="20" hidden="1" customWidth="1"/>
    <col min="10" max="10" width="6" style="19" customWidth="1"/>
    <col min="11" max="11" width="21.6640625" style="19" customWidth="1"/>
    <col min="12" max="12" width="14.109375" style="19" customWidth="1"/>
    <col min="13" max="13" width="9.6640625" style="19" customWidth="1"/>
    <col min="14" max="15" width="11.109375" style="19" customWidth="1"/>
    <col min="16" max="16" width="5.5546875" style="19" customWidth="1"/>
    <col min="17" max="16384" width="9.109375" style="19"/>
  </cols>
  <sheetData>
    <row r="1" spans="2:22" ht="30" customHeight="1" x14ac:dyDescent="0.3">
      <c r="B1" s="264" t="str">
        <f>CONCATENATE('Cover Page'!B1:L1," ", 'Cover Page'!B2:L2," - RIPARIAN &amp; FLOODPLAIN")</f>
        <v>FISH PASSAGE CREDIT CALCULATOR Version 1.1 - RIPARIAN &amp; FLOODPLAIN</v>
      </c>
      <c r="C1" s="56"/>
      <c r="D1" s="56"/>
      <c r="E1" s="56"/>
      <c r="G1" s="56"/>
      <c r="H1" s="19"/>
      <c r="I1" s="40"/>
      <c r="J1" s="40"/>
      <c r="K1" s="40"/>
      <c r="L1" s="40"/>
      <c r="N1" s="40"/>
      <c r="O1" s="167"/>
      <c r="P1" s="40"/>
      <c r="Q1" s="40"/>
      <c r="R1" s="40"/>
      <c r="S1" s="21"/>
      <c r="T1" s="21"/>
      <c r="U1" s="41"/>
      <c r="V1" s="21"/>
    </row>
    <row r="2" spans="2:22" s="39" customFormat="1" x14ac:dyDescent="0.3">
      <c r="B2" s="26"/>
      <c r="C2" s="26"/>
      <c r="D2" s="26"/>
      <c r="E2" s="26"/>
      <c r="F2" s="42"/>
      <c r="G2" s="42"/>
      <c r="H2" s="30"/>
      <c r="I2" s="30"/>
      <c r="J2" s="30"/>
      <c r="K2" s="30"/>
      <c r="L2" s="30"/>
      <c r="M2" s="30"/>
      <c r="N2" s="30"/>
      <c r="O2" s="30"/>
      <c r="P2" s="30"/>
      <c r="Q2" s="30"/>
      <c r="R2" s="30"/>
      <c r="S2" s="25"/>
      <c r="T2" s="25"/>
      <c r="U2" s="26"/>
      <c r="V2" s="42"/>
    </row>
    <row r="3" spans="2:22" ht="24.9" customHeight="1" x14ac:dyDescent="0.3">
      <c r="B3" s="466" t="str">
        <f>IF(Project_Site = "","", Project_Site)</f>
        <v>East Fork of South Fork Trask River</v>
      </c>
      <c r="C3" s="467"/>
      <c r="D3" s="467"/>
      <c r="E3" s="468"/>
      <c r="F3" s="57"/>
      <c r="H3" s="19"/>
      <c r="I3" s="19"/>
      <c r="K3" s="100"/>
      <c r="L3" s="58" t="s">
        <v>80</v>
      </c>
      <c r="M3" s="27"/>
    </row>
    <row r="4" spans="2:22" ht="14.25" customHeight="1" x14ac:dyDescent="0.3">
      <c r="B4" s="189"/>
      <c r="C4" s="26"/>
      <c r="E4" s="31"/>
      <c r="F4" s="31"/>
      <c r="G4" s="19"/>
      <c r="H4" s="19"/>
      <c r="I4" s="37"/>
      <c r="K4" s="100"/>
      <c r="L4" s="58" t="s">
        <v>159</v>
      </c>
      <c r="M4" s="28"/>
    </row>
    <row r="5" spans="2:22" ht="14.25" customHeight="1" x14ac:dyDescent="0.3">
      <c r="B5" s="37"/>
      <c r="C5" s="26"/>
      <c r="E5" s="31"/>
      <c r="F5" s="31"/>
      <c r="G5" s="19"/>
      <c r="H5" s="19"/>
      <c r="I5" s="37"/>
      <c r="K5" s="100"/>
      <c r="L5" s="58"/>
      <c r="M5" s="190"/>
    </row>
    <row r="6" spans="2:22" ht="24.9" customHeight="1" x14ac:dyDescent="0.3">
      <c r="B6" s="99" t="s">
        <v>233</v>
      </c>
      <c r="C6" s="479" t="s">
        <v>223</v>
      </c>
      <c r="D6" s="480"/>
      <c r="E6" s="480"/>
      <c r="F6" s="480"/>
      <c r="G6" s="481"/>
      <c r="H6" s="99" t="s">
        <v>9</v>
      </c>
      <c r="I6" s="99" t="s">
        <v>10</v>
      </c>
      <c r="J6" s="414" t="s">
        <v>295</v>
      </c>
      <c r="K6" s="415"/>
      <c r="L6" s="415"/>
      <c r="M6" s="415"/>
      <c r="N6" s="415"/>
      <c r="O6" s="416"/>
    </row>
    <row r="7" spans="2:22" ht="15.6" x14ac:dyDescent="0.3">
      <c r="B7" s="101"/>
      <c r="C7" s="109"/>
      <c r="D7" s="109"/>
      <c r="E7" s="100"/>
      <c r="F7" s="100"/>
      <c r="G7" s="100"/>
      <c r="H7" s="116"/>
      <c r="I7" s="101"/>
      <c r="J7" s="100"/>
      <c r="K7" s="100"/>
      <c r="L7" s="100"/>
      <c r="M7" s="100"/>
      <c r="N7" s="100"/>
      <c r="O7" s="100"/>
    </row>
    <row r="8" spans="2:22" ht="20.100000000000001" customHeight="1" x14ac:dyDescent="0.3">
      <c r="B8" s="476" t="s">
        <v>83</v>
      </c>
      <c r="C8" s="476"/>
      <c r="D8" s="476"/>
      <c r="E8" s="476"/>
      <c r="F8" s="476"/>
      <c r="G8" s="476"/>
      <c r="H8" s="116"/>
      <c r="I8" s="117"/>
      <c r="J8" s="100"/>
      <c r="K8" s="100"/>
      <c r="L8" s="100"/>
      <c r="M8" s="100"/>
      <c r="N8" s="100"/>
      <c r="O8" s="100"/>
    </row>
    <row r="9" spans="2:22" ht="16.2" thickBot="1" x14ac:dyDescent="0.35">
      <c r="B9" s="117"/>
      <c r="C9" s="100"/>
      <c r="D9" s="100"/>
      <c r="E9" s="100"/>
      <c r="F9" s="118"/>
      <c r="G9" s="119"/>
      <c r="H9" s="116"/>
      <c r="I9" s="117"/>
      <c r="J9" s="100"/>
      <c r="K9" s="100"/>
      <c r="L9" s="100"/>
      <c r="M9" s="100"/>
      <c r="N9" s="100"/>
      <c r="O9" s="100"/>
    </row>
    <row r="10" spans="2:22" ht="51.75" customHeight="1" x14ac:dyDescent="0.3">
      <c r="B10" s="104" t="s">
        <v>62</v>
      </c>
      <c r="C10" s="482" t="s">
        <v>290</v>
      </c>
      <c r="D10" s="483"/>
      <c r="E10" s="483"/>
      <c r="F10" s="484"/>
      <c r="G10" s="106" t="s">
        <v>19</v>
      </c>
      <c r="H10" s="116"/>
      <c r="I10" s="120" t="s">
        <v>7</v>
      </c>
      <c r="J10" s="100"/>
      <c r="K10" s="100"/>
      <c r="L10" s="100"/>
      <c r="M10" s="100"/>
      <c r="N10" s="100"/>
      <c r="O10" s="100"/>
    </row>
    <row r="11" spans="2:22" ht="38.25" customHeight="1" x14ac:dyDescent="0.3">
      <c r="B11" s="117"/>
      <c r="C11" s="477" t="s">
        <v>34</v>
      </c>
      <c r="D11" s="477"/>
      <c r="E11" s="477"/>
      <c r="F11" s="477"/>
      <c r="G11" s="121">
        <f>IF($O$14="","",K14/$O$14*100)</f>
        <v>24.202087430040841</v>
      </c>
      <c r="H11" s="116"/>
      <c r="I11" s="117"/>
      <c r="J11" s="100"/>
      <c r="K11" s="488" t="s">
        <v>230</v>
      </c>
      <c r="L11" s="488"/>
      <c r="M11" s="488"/>
      <c r="N11" s="488"/>
      <c r="O11" s="488"/>
    </row>
    <row r="12" spans="2:22" ht="29.25" customHeight="1" x14ac:dyDescent="0.3">
      <c r="B12" s="117"/>
      <c r="C12" s="477" t="s">
        <v>85</v>
      </c>
      <c r="D12" s="477"/>
      <c r="E12" s="477"/>
      <c r="F12" s="477"/>
      <c r="G12" s="121">
        <f>IF($O$14="","",L14/$O$14*100)</f>
        <v>64.710331266071691</v>
      </c>
      <c r="H12" s="116"/>
      <c r="I12" s="117"/>
      <c r="J12" s="100"/>
      <c r="K12" s="489" t="s">
        <v>164</v>
      </c>
      <c r="L12" s="490"/>
      <c r="M12" s="490"/>
      <c r="N12" s="491"/>
      <c r="O12" s="258"/>
    </row>
    <row r="13" spans="2:22" ht="51" customHeight="1" x14ac:dyDescent="0.3">
      <c r="B13" s="117"/>
      <c r="C13" s="477" t="s">
        <v>160</v>
      </c>
      <c r="D13" s="477"/>
      <c r="E13" s="477"/>
      <c r="F13" s="477"/>
      <c r="G13" s="121">
        <f>IF($O$14="","",M14/$O$14*100)</f>
        <v>1.4067463318711237</v>
      </c>
      <c r="H13" s="116"/>
      <c r="I13" s="117"/>
      <c r="J13" s="100"/>
      <c r="K13" s="254" t="s">
        <v>394</v>
      </c>
      <c r="L13" s="254" t="s">
        <v>395</v>
      </c>
      <c r="M13" s="254" t="s">
        <v>396</v>
      </c>
      <c r="N13" s="254" t="s">
        <v>397</v>
      </c>
      <c r="O13" s="254" t="s">
        <v>163</v>
      </c>
    </row>
    <row r="14" spans="2:22" ht="15.6" x14ac:dyDescent="0.3">
      <c r="B14" s="117"/>
      <c r="C14" s="477" t="s">
        <v>398</v>
      </c>
      <c r="D14" s="477"/>
      <c r="E14" s="477"/>
      <c r="F14" s="477"/>
      <c r="G14" s="121">
        <f>IF($O$14="","",N14/$O$14*100)</f>
        <v>9.6808349720163367</v>
      </c>
      <c r="H14" s="116"/>
      <c r="I14" s="117"/>
      <c r="J14" s="100"/>
      <c r="K14" s="259">
        <v>1600</v>
      </c>
      <c r="L14" s="259">
        <v>4278</v>
      </c>
      <c r="M14" s="259">
        <v>93</v>
      </c>
      <c r="N14" s="259">
        <v>640</v>
      </c>
      <c r="O14" s="257">
        <f>IF(K14="","",SUM(K14:N14))</f>
        <v>6611</v>
      </c>
    </row>
    <row r="15" spans="2:22" ht="15.6" x14ac:dyDescent="0.3">
      <c r="B15" s="117"/>
      <c r="C15" s="478" t="s">
        <v>161</v>
      </c>
      <c r="D15" s="478"/>
      <c r="E15" s="478"/>
      <c r="F15" s="478"/>
      <c r="G15" s="123">
        <f>IF(pClass1="","",SUM(pClass1,pClass2*0.92,pClass3*AVERAGE(0.88+0.43),pClass4*0.04))</f>
        <v>85.965663288458629</v>
      </c>
      <c r="H15" s="116"/>
      <c r="I15" s="117"/>
      <c r="J15" s="100"/>
      <c r="K15" s="100"/>
      <c r="L15" s="100"/>
      <c r="M15" s="100"/>
      <c r="N15" s="100"/>
      <c r="O15" s="100"/>
    </row>
    <row r="16" spans="2:22" ht="15.6" x14ac:dyDescent="0.3">
      <c r="B16" s="117"/>
      <c r="C16" s="102"/>
      <c r="D16" s="102"/>
      <c r="E16" s="100"/>
      <c r="F16" s="124" t="s">
        <v>148</v>
      </c>
      <c r="G16" s="125">
        <f>IF(FuncRip="","",IF(FuncRip&lt;34,0.3,IF(FuncRip&lt;81,0.6,1)))</f>
        <v>1</v>
      </c>
      <c r="H16" s="126"/>
      <c r="I16" s="117"/>
      <c r="J16" s="100"/>
      <c r="K16" s="100"/>
      <c r="L16" s="100"/>
      <c r="M16" s="100"/>
      <c r="N16" s="100"/>
      <c r="O16" s="100"/>
    </row>
    <row r="17" spans="2:21" ht="15.6" x14ac:dyDescent="0.3">
      <c r="B17" s="117"/>
      <c r="C17" s="127"/>
      <c r="D17" s="127"/>
      <c r="E17" s="127"/>
      <c r="F17" s="128"/>
      <c r="G17" s="129"/>
      <c r="H17" s="130"/>
      <c r="I17" s="101"/>
      <c r="J17" s="102"/>
      <c r="K17" s="100"/>
      <c r="L17" s="100"/>
      <c r="M17" s="100"/>
      <c r="N17" s="100"/>
      <c r="O17" s="100"/>
    </row>
    <row r="18" spans="2:21" s="16" customFormat="1" ht="16.5" customHeight="1" x14ac:dyDescent="0.3">
      <c r="B18" s="105"/>
      <c r="C18" s="475" t="s">
        <v>211</v>
      </c>
      <c r="D18" s="475"/>
      <c r="E18" s="475"/>
      <c r="F18" s="475"/>
      <c r="G18" s="475"/>
      <c r="H18" s="105"/>
      <c r="I18" s="105"/>
      <c r="J18" s="100"/>
      <c r="K18" s="100"/>
      <c r="L18" s="100"/>
      <c r="M18" s="100"/>
      <c r="N18" s="100"/>
      <c r="O18" s="100"/>
      <c r="P18" s="48"/>
      <c r="Q18" s="48"/>
      <c r="R18" s="60"/>
      <c r="S18" s="53"/>
      <c r="T18" s="53"/>
      <c r="U18" s="53"/>
    </row>
    <row r="19" spans="2:21" s="16" customFormat="1" ht="20.100000000000001" customHeight="1" x14ac:dyDescent="0.3">
      <c r="B19" s="105"/>
      <c r="C19" s="411"/>
      <c r="D19" s="411"/>
      <c r="E19" s="411"/>
      <c r="F19" s="411"/>
      <c r="G19" s="411"/>
      <c r="H19" s="105"/>
      <c r="I19" s="105"/>
      <c r="J19" s="100"/>
      <c r="K19" s="100"/>
      <c r="L19" s="100"/>
      <c r="M19" s="100"/>
      <c r="N19" s="100"/>
      <c r="O19" s="100"/>
      <c r="P19" s="48"/>
      <c r="Q19" s="48"/>
      <c r="R19" s="60"/>
      <c r="S19" s="53"/>
      <c r="T19" s="53"/>
      <c r="U19" s="53"/>
    </row>
    <row r="20" spans="2:21" ht="15.6" x14ac:dyDescent="0.3">
      <c r="B20" s="117"/>
      <c r="C20" s="127"/>
      <c r="D20" s="127"/>
      <c r="E20" s="127"/>
      <c r="F20" s="128"/>
      <c r="G20" s="129"/>
      <c r="H20" s="131"/>
      <c r="I20" s="117"/>
      <c r="J20" s="100"/>
      <c r="K20" s="100"/>
      <c r="L20" s="100"/>
      <c r="M20" s="100"/>
      <c r="N20" s="100"/>
      <c r="O20" s="100"/>
    </row>
    <row r="21" spans="2:21" ht="20.100000000000001" customHeight="1" x14ac:dyDescent="0.3">
      <c r="B21" s="476" t="s">
        <v>82</v>
      </c>
      <c r="C21" s="476"/>
      <c r="D21" s="476"/>
      <c r="E21" s="476"/>
      <c r="F21" s="476"/>
      <c r="G21" s="476"/>
      <c r="H21" s="131"/>
      <c r="I21" s="117"/>
      <c r="J21" s="100"/>
      <c r="K21" s="100"/>
      <c r="L21" s="100"/>
      <c r="M21" s="100"/>
      <c r="N21" s="100"/>
      <c r="O21" s="100"/>
    </row>
    <row r="22" spans="2:21" ht="20.100000000000001" customHeight="1" thickBot="1" x14ac:dyDescent="0.35">
      <c r="B22" s="117"/>
      <c r="C22" s="100"/>
      <c r="D22" s="100"/>
      <c r="E22" s="100"/>
      <c r="F22" s="118"/>
      <c r="G22" s="118"/>
      <c r="H22" s="131"/>
      <c r="I22" s="117"/>
      <c r="J22" s="100"/>
      <c r="K22" s="133" t="s">
        <v>231</v>
      </c>
      <c r="L22" s="100"/>
      <c r="M22" s="100"/>
      <c r="N22" s="100"/>
      <c r="O22" s="100"/>
    </row>
    <row r="23" spans="2:21" ht="65.099999999999994" customHeight="1" x14ac:dyDescent="0.3">
      <c r="B23" s="134" t="s">
        <v>63</v>
      </c>
      <c r="C23" s="469" t="s">
        <v>364</v>
      </c>
      <c r="D23" s="470"/>
      <c r="E23" s="470"/>
      <c r="F23" s="471"/>
      <c r="G23" s="135" t="s">
        <v>19</v>
      </c>
      <c r="H23" s="116"/>
      <c r="I23" s="120" t="s">
        <v>8</v>
      </c>
      <c r="J23" s="100"/>
      <c r="K23" s="254" t="s">
        <v>103</v>
      </c>
      <c r="L23" s="254" t="s">
        <v>119</v>
      </c>
      <c r="M23" s="254" t="s">
        <v>79</v>
      </c>
      <c r="N23" s="254" t="s">
        <v>165</v>
      </c>
      <c r="O23" s="254" t="s">
        <v>486</v>
      </c>
    </row>
    <row r="24" spans="2:21" ht="15.6" x14ac:dyDescent="0.3">
      <c r="B24" s="101"/>
      <c r="C24" s="472" t="s">
        <v>86</v>
      </c>
      <c r="D24" s="473"/>
      <c r="E24" s="473"/>
      <c r="F24" s="474"/>
      <c r="G24" s="136" t="s">
        <v>144</v>
      </c>
      <c r="H24" s="116"/>
      <c r="I24" s="101"/>
      <c r="J24" s="100"/>
      <c r="K24" s="339">
        <v>123577945380201</v>
      </c>
      <c r="L24" s="265">
        <v>1994</v>
      </c>
      <c r="M24" s="255">
        <v>0.54430800000000001</v>
      </c>
      <c r="N24" s="306">
        <v>0</v>
      </c>
      <c r="O24" s="255" t="str">
        <f>IF(N24 = "","",IF(N24&gt;2.2,M24,""))</f>
        <v/>
      </c>
    </row>
    <row r="25" spans="2:21" ht="21" customHeight="1" x14ac:dyDescent="0.3">
      <c r="B25" s="117"/>
      <c r="C25" s="137"/>
      <c r="D25" s="137"/>
      <c r="E25" s="100"/>
      <c r="F25" s="138" t="s">
        <v>147</v>
      </c>
      <c r="G25" s="139">
        <f>IF(Entrench&lt;"a","",VLOOKUP(Entrench,LU_Entrench_Score,2,FALSE))</f>
        <v>0.3</v>
      </c>
      <c r="H25" s="116"/>
      <c r="I25" s="101"/>
      <c r="J25" s="100"/>
      <c r="K25" s="339">
        <v>123577945380202</v>
      </c>
      <c r="L25" s="265">
        <v>1994</v>
      </c>
      <c r="M25" s="255">
        <v>0.35971700000000001</v>
      </c>
      <c r="N25" s="306">
        <v>0</v>
      </c>
      <c r="O25" s="255" t="str">
        <f t="shared" ref="O25:O48" si="0">IF(N25 = "","",IF(N25&gt;2.2,M25,""))</f>
        <v/>
      </c>
    </row>
    <row r="26" spans="2:21" ht="16.2" thickBot="1" x14ac:dyDescent="0.35">
      <c r="B26" s="117"/>
      <c r="C26" s="100"/>
      <c r="D26" s="100"/>
      <c r="E26" s="100"/>
      <c r="F26" s="118"/>
      <c r="G26" s="101"/>
      <c r="H26" s="131"/>
      <c r="I26" s="117"/>
      <c r="J26" s="100"/>
      <c r="K26" s="339">
        <v>123577945380203</v>
      </c>
      <c r="L26" s="265">
        <v>1994</v>
      </c>
      <c r="M26" s="255">
        <v>0.55461000000000005</v>
      </c>
      <c r="N26" s="306">
        <v>0</v>
      </c>
      <c r="O26" s="255" t="str">
        <f t="shared" si="0"/>
        <v/>
      </c>
    </row>
    <row r="27" spans="2:21" ht="27" customHeight="1" x14ac:dyDescent="0.3">
      <c r="B27" s="134" t="s">
        <v>73</v>
      </c>
      <c r="C27" s="469" t="s">
        <v>72</v>
      </c>
      <c r="D27" s="470"/>
      <c r="E27" s="470"/>
      <c r="F27" s="471"/>
      <c r="G27" s="140" t="s">
        <v>19</v>
      </c>
      <c r="H27" s="116"/>
      <c r="I27" s="120"/>
      <c r="J27" s="100"/>
      <c r="K27" s="339">
        <v>123580645381001</v>
      </c>
      <c r="L27" s="265">
        <v>1994</v>
      </c>
      <c r="M27" s="255">
        <v>1.36791</v>
      </c>
      <c r="N27" s="306">
        <v>0</v>
      </c>
      <c r="O27" s="255" t="str">
        <f t="shared" si="0"/>
        <v/>
      </c>
    </row>
    <row r="28" spans="2:21" ht="15.6" x14ac:dyDescent="0.3">
      <c r="B28" s="101"/>
      <c r="C28" s="472" t="s">
        <v>74</v>
      </c>
      <c r="D28" s="473"/>
      <c r="E28" s="473"/>
      <c r="F28" s="474"/>
      <c r="G28" s="141" t="s">
        <v>126</v>
      </c>
      <c r="H28" s="116"/>
      <c r="I28" s="101"/>
      <c r="J28" s="100"/>
      <c r="K28" s="339">
        <v>123538845350501</v>
      </c>
      <c r="L28" s="265">
        <v>1994</v>
      </c>
      <c r="M28" s="255">
        <v>0.57470399999999999</v>
      </c>
      <c r="N28" s="306">
        <v>0</v>
      </c>
      <c r="O28" s="255" t="str">
        <f t="shared" si="0"/>
        <v/>
      </c>
    </row>
    <row r="29" spans="2:21" ht="24" customHeight="1" x14ac:dyDescent="0.3">
      <c r="B29" s="117"/>
      <c r="C29" s="137"/>
      <c r="D29" s="137"/>
      <c r="E29" s="100"/>
      <c r="F29" s="142" t="s">
        <v>146</v>
      </c>
      <c r="G29" s="139">
        <f>IF(Floodpln&lt;"a","",VLOOKUP(Floodpln,LU_Floodplain_Score,2,FALSE))</f>
        <v>1</v>
      </c>
      <c r="H29" s="116"/>
      <c r="I29" s="101"/>
      <c r="J29" s="100"/>
      <c r="K29" s="339">
        <v>123605145416502</v>
      </c>
      <c r="L29" s="265">
        <v>2004</v>
      </c>
      <c r="M29" s="255">
        <v>0.99779200000000001</v>
      </c>
      <c r="N29" s="306">
        <v>1.3</v>
      </c>
      <c r="O29" s="255" t="str">
        <f t="shared" si="0"/>
        <v/>
      </c>
    </row>
    <row r="30" spans="2:21" ht="15" customHeight="1" x14ac:dyDescent="0.3">
      <c r="B30" s="118"/>
      <c r="C30" s="100"/>
      <c r="D30" s="100"/>
      <c r="E30" s="100"/>
      <c r="F30" s="118"/>
      <c r="G30" s="118"/>
      <c r="H30" s="143"/>
      <c r="I30" s="117"/>
      <c r="J30" s="100"/>
      <c r="K30" s="339">
        <v>123605145416503</v>
      </c>
      <c r="L30" s="265">
        <v>2004</v>
      </c>
      <c r="M30" s="255">
        <v>0.44580599999999998</v>
      </c>
      <c r="N30" s="306">
        <v>1.3</v>
      </c>
      <c r="O30" s="255" t="str">
        <f t="shared" si="0"/>
        <v/>
      </c>
    </row>
    <row r="31" spans="2:21" s="16" customFormat="1" ht="16.5" customHeight="1" x14ac:dyDescent="0.3">
      <c r="B31" s="105"/>
      <c r="C31" s="475" t="s">
        <v>212</v>
      </c>
      <c r="D31" s="475"/>
      <c r="E31" s="475"/>
      <c r="F31" s="475"/>
      <c r="G31" s="475"/>
      <c r="H31" s="105"/>
      <c r="I31" s="105"/>
      <c r="J31" s="100"/>
      <c r="K31" s="339">
        <v>123605145416504</v>
      </c>
      <c r="L31" s="265">
        <v>2004</v>
      </c>
      <c r="M31" s="255">
        <v>1.754434</v>
      </c>
      <c r="N31" s="306">
        <v>1.2</v>
      </c>
      <c r="O31" s="255" t="str">
        <f t="shared" si="0"/>
        <v/>
      </c>
      <c r="P31" s="48"/>
      <c r="Q31" s="48"/>
      <c r="R31" s="60"/>
      <c r="S31" s="53"/>
      <c r="T31" s="53"/>
      <c r="U31" s="53"/>
    </row>
    <row r="32" spans="2:21" s="16" customFormat="1" ht="43.5" customHeight="1" x14ac:dyDescent="0.3">
      <c r="B32" s="105"/>
      <c r="C32" s="411" t="s">
        <v>421</v>
      </c>
      <c r="D32" s="411"/>
      <c r="E32" s="411"/>
      <c r="F32" s="411"/>
      <c r="G32" s="411"/>
      <c r="H32" s="105"/>
      <c r="I32" s="105"/>
      <c r="J32" s="100"/>
      <c r="K32" s="339">
        <v>123605145416505</v>
      </c>
      <c r="L32" s="265">
        <v>2004</v>
      </c>
      <c r="M32" s="255">
        <v>1.345882</v>
      </c>
      <c r="N32" s="306">
        <v>1.2</v>
      </c>
      <c r="O32" s="255" t="str">
        <f t="shared" si="0"/>
        <v/>
      </c>
      <c r="P32" s="48"/>
      <c r="Q32" s="48"/>
      <c r="R32" s="60"/>
      <c r="S32" s="53"/>
      <c r="T32" s="53"/>
      <c r="U32" s="53"/>
    </row>
    <row r="33" spans="3:15" ht="15.6" x14ac:dyDescent="0.3">
      <c r="C33" s="38"/>
      <c r="G33" s="20"/>
      <c r="K33" s="339">
        <v>123605145416506</v>
      </c>
      <c r="L33" s="265">
        <v>2004</v>
      </c>
      <c r="M33" s="255">
        <v>0.477663</v>
      </c>
      <c r="N33" s="306">
        <v>1.2</v>
      </c>
      <c r="O33" s="255" t="str">
        <f t="shared" si="0"/>
        <v/>
      </c>
    </row>
    <row r="34" spans="3:15" ht="15.6" x14ac:dyDescent="0.3">
      <c r="G34" s="20"/>
      <c r="K34" s="339">
        <v>123605145416507</v>
      </c>
      <c r="L34" s="265">
        <v>2004</v>
      </c>
      <c r="M34" s="255">
        <v>0.92504500000000001</v>
      </c>
      <c r="N34" s="306">
        <v>1.5</v>
      </c>
      <c r="O34" s="255" t="str">
        <f t="shared" si="0"/>
        <v/>
      </c>
    </row>
    <row r="35" spans="3:15" ht="15.6" x14ac:dyDescent="0.3">
      <c r="G35" s="20"/>
      <c r="K35" s="339">
        <v>123605145416508</v>
      </c>
      <c r="L35" s="265">
        <v>2005</v>
      </c>
      <c r="M35" s="255">
        <v>0.82653299999999996</v>
      </c>
      <c r="N35" s="306">
        <v>1.4</v>
      </c>
      <c r="O35" s="255" t="str">
        <f t="shared" si="0"/>
        <v/>
      </c>
    </row>
    <row r="36" spans="3:15" ht="15.6" x14ac:dyDescent="0.3">
      <c r="G36" s="20"/>
      <c r="K36" s="339">
        <v>123605145416509</v>
      </c>
      <c r="L36" s="265">
        <v>2005</v>
      </c>
      <c r="M36" s="255">
        <v>0.64796200000000004</v>
      </c>
      <c r="N36" s="306">
        <v>1.3</v>
      </c>
      <c r="O36" s="255" t="str">
        <f t="shared" si="0"/>
        <v/>
      </c>
    </row>
    <row r="37" spans="3:15" ht="15.6" x14ac:dyDescent="0.3">
      <c r="G37" s="20"/>
      <c r="K37" s="339">
        <v>123605145416510</v>
      </c>
      <c r="L37" s="265">
        <v>2005</v>
      </c>
      <c r="M37" s="255">
        <v>0.51054500000000003</v>
      </c>
      <c r="N37" s="306">
        <v>1.2</v>
      </c>
      <c r="O37" s="255" t="str">
        <f t="shared" si="0"/>
        <v/>
      </c>
    </row>
    <row r="38" spans="3:15" ht="15.6" x14ac:dyDescent="0.3">
      <c r="G38" s="20"/>
      <c r="K38" s="339">
        <v>123605145416511</v>
      </c>
      <c r="L38" s="265">
        <v>2005</v>
      </c>
      <c r="M38" s="255">
        <v>0.85170000000000001</v>
      </c>
      <c r="N38" s="306">
        <v>1.2</v>
      </c>
      <c r="O38" s="255" t="str">
        <f t="shared" si="0"/>
        <v/>
      </c>
    </row>
    <row r="39" spans="3:15" ht="15.6" x14ac:dyDescent="0.3">
      <c r="G39" s="20"/>
      <c r="K39" s="339">
        <v>123558145368201</v>
      </c>
      <c r="L39" s="265">
        <v>2005</v>
      </c>
      <c r="M39" s="255">
        <v>0.22712599999999999</v>
      </c>
      <c r="N39" s="306">
        <v>1.4</v>
      </c>
      <c r="O39" s="255" t="str">
        <f t="shared" si="0"/>
        <v/>
      </c>
    </row>
    <row r="40" spans="3:15" ht="15.6" x14ac:dyDescent="0.3">
      <c r="G40" s="20"/>
      <c r="K40" s="339">
        <v>123515145361401</v>
      </c>
      <c r="L40" s="265">
        <v>2005</v>
      </c>
      <c r="M40" s="255">
        <v>0.283358</v>
      </c>
      <c r="N40" s="306">
        <v>1.3</v>
      </c>
      <c r="O40" s="255" t="str">
        <f t="shared" si="0"/>
        <v/>
      </c>
    </row>
    <row r="41" spans="3:15" ht="15.6" x14ac:dyDescent="0.3">
      <c r="G41" s="20"/>
      <c r="K41" s="339">
        <v>123547445360901</v>
      </c>
      <c r="L41" s="265">
        <v>2005</v>
      </c>
      <c r="M41" s="255">
        <v>0.58122700000000005</v>
      </c>
      <c r="N41" s="306">
        <v>1.3</v>
      </c>
      <c r="O41" s="255" t="str">
        <f t="shared" si="0"/>
        <v/>
      </c>
    </row>
    <row r="42" spans="3:15" ht="15.6" x14ac:dyDescent="0.3">
      <c r="G42" s="20"/>
      <c r="K42" s="339">
        <v>123547445360902</v>
      </c>
      <c r="L42" s="265">
        <v>2005</v>
      </c>
      <c r="M42" s="255">
        <v>0.326654</v>
      </c>
      <c r="N42" s="306">
        <v>1.3</v>
      </c>
      <c r="O42" s="255" t="str">
        <f t="shared" si="0"/>
        <v/>
      </c>
    </row>
    <row r="43" spans="3:15" ht="15.6" x14ac:dyDescent="0.3">
      <c r="G43" s="20"/>
      <c r="K43" s="339">
        <v>123562545372801</v>
      </c>
      <c r="L43" s="265">
        <v>2005</v>
      </c>
      <c r="M43" s="255">
        <v>0.19992299999999999</v>
      </c>
      <c r="N43" s="306">
        <v>1.3</v>
      </c>
      <c r="O43" s="255" t="str">
        <f t="shared" si="0"/>
        <v/>
      </c>
    </row>
    <row r="44" spans="3:15" ht="15.75" customHeight="1" x14ac:dyDescent="0.3">
      <c r="G44" s="20"/>
      <c r="K44" s="339">
        <v>123562545372802</v>
      </c>
      <c r="L44" s="265">
        <v>2005</v>
      </c>
      <c r="M44" s="255">
        <v>0.20622799999999999</v>
      </c>
      <c r="N44" s="306">
        <v>1.2</v>
      </c>
      <c r="O44" s="255" t="str">
        <f t="shared" si="0"/>
        <v/>
      </c>
    </row>
    <row r="45" spans="3:15" ht="15.75" customHeight="1" x14ac:dyDescent="0.3">
      <c r="G45" s="20"/>
      <c r="K45" s="339">
        <v>123538845350502</v>
      </c>
      <c r="L45" s="265">
        <v>1994</v>
      </c>
      <c r="M45" s="255">
        <v>0.154032</v>
      </c>
      <c r="N45" s="306">
        <v>0</v>
      </c>
      <c r="O45" s="255" t="str">
        <f t="shared" si="0"/>
        <v/>
      </c>
    </row>
    <row r="46" spans="3:15" ht="15.6" x14ac:dyDescent="0.3">
      <c r="G46" s="20"/>
      <c r="K46" s="340">
        <v>545</v>
      </c>
      <c r="L46" s="265">
        <v>2012</v>
      </c>
      <c r="M46" s="255">
        <v>0.54103900000000005</v>
      </c>
      <c r="N46" s="306">
        <v>2.25</v>
      </c>
      <c r="O46" s="255">
        <f t="shared" si="0"/>
        <v>0.54103900000000005</v>
      </c>
    </row>
    <row r="47" spans="3:15" ht="15.6" x14ac:dyDescent="0.3">
      <c r="G47" s="20"/>
      <c r="K47" s="341">
        <v>20618</v>
      </c>
      <c r="L47" s="265">
        <v>2010</v>
      </c>
      <c r="M47" s="255">
        <v>0.545566</v>
      </c>
      <c r="N47" s="305">
        <v>1.42</v>
      </c>
      <c r="O47" s="255" t="str">
        <f t="shared" si="0"/>
        <v/>
      </c>
    </row>
    <row r="48" spans="3:15" ht="15.6" x14ac:dyDescent="0.3">
      <c r="K48" s="340">
        <v>534</v>
      </c>
      <c r="L48" s="265">
        <v>2003</v>
      </c>
      <c r="M48" s="255">
        <v>0.62901300000000004</v>
      </c>
      <c r="N48" s="306">
        <v>1.38</v>
      </c>
      <c r="O48" s="255" t="str">
        <f t="shared" si="0"/>
        <v/>
      </c>
    </row>
    <row r="49" spans="11:15" ht="15.6" x14ac:dyDescent="0.3">
      <c r="K49" s="485" t="s">
        <v>225</v>
      </c>
      <c r="L49" s="487"/>
      <c r="M49" s="255">
        <f>SUM(M24:M48)</f>
        <v>15.878776999999999</v>
      </c>
      <c r="N49" s="256"/>
      <c r="O49" s="255">
        <f>SUM(O24:O48)</f>
        <v>0.54103900000000005</v>
      </c>
    </row>
    <row r="50" spans="11:15" ht="15.6" x14ac:dyDescent="0.3">
      <c r="K50" s="485" t="s">
        <v>487</v>
      </c>
      <c r="L50" s="486"/>
      <c r="M50" s="486"/>
      <c r="N50" s="487"/>
      <c r="O50" s="255">
        <f>IF(O49="","",(O49/M49)*100)</f>
        <v>3.4073090137861377</v>
      </c>
    </row>
  </sheetData>
  <customSheetViews>
    <customSheetView guid="{2CD00E0D-7A42-4D1F-BB0C-36C7B8A44027}" printArea="1">
      <selection activeCell="C7" sqref="C7:F7"/>
      <rowBreaks count="6" manualBreakCount="6">
        <brk id="19" max="7" man="1"/>
        <brk id="42" max="8" man="1"/>
        <brk id="70" max="8" man="1"/>
        <brk id="100" max="8" man="1"/>
        <brk id="126" max="8" man="1"/>
        <brk id="149" max="8" man="1"/>
      </rowBreaks>
      <pageMargins left="0.5" right="0.5" top="0.5" bottom="0.5" header="0.3" footer="0.3"/>
      <pageSetup scale="94" fitToHeight="0" orientation="landscape" cellComments="asDisplayed" r:id="rId1"/>
      <headerFooter>
        <oddFooter>Page &amp;P</oddFooter>
      </headerFooter>
    </customSheetView>
  </customSheetViews>
  <mergeCells count="23">
    <mergeCell ref="K50:N50"/>
    <mergeCell ref="K49:L49"/>
    <mergeCell ref="C31:G31"/>
    <mergeCell ref="C32:G32"/>
    <mergeCell ref="J6:O6"/>
    <mergeCell ref="K11:O11"/>
    <mergeCell ref="K12:N12"/>
    <mergeCell ref="B3:E3"/>
    <mergeCell ref="C27:F27"/>
    <mergeCell ref="C28:F28"/>
    <mergeCell ref="C24:F24"/>
    <mergeCell ref="C18:G18"/>
    <mergeCell ref="C19:G19"/>
    <mergeCell ref="B8:G8"/>
    <mergeCell ref="B21:G21"/>
    <mergeCell ref="C11:F11"/>
    <mergeCell ref="C12:F12"/>
    <mergeCell ref="C13:F13"/>
    <mergeCell ref="C15:F15"/>
    <mergeCell ref="C14:F14"/>
    <mergeCell ref="C6:G6"/>
    <mergeCell ref="C23:F23"/>
    <mergeCell ref="C10:F10"/>
  </mergeCells>
  <printOptions horizontalCentered="1"/>
  <pageMargins left="0.5" right="0.5" top="0.5" bottom="0.5" header="0.3" footer="0.3"/>
  <pageSetup scale="74" fitToHeight="0" orientation="landscape" cellComments="asDisplayed" r:id="rId2"/>
  <headerFooter>
    <oddFooter>&amp;C&amp;P</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lists'!$F$25:$F$30</xm:f>
          </x14:formula1>
          <xm:sqref>G28</xm:sqref>
        </x14:dataValidation>
        <x14:dataValidation type="list" allowBlank="1" showInputMessage="1" showErrorMessage="1">
          <x14:formula1>
            <xm:f>'Dropdown lists'!$C$25:$C$29</xm:f>
          </x14:formula1>
          <xm:sqref>G24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6"/>
  <sheetViews>
    <sheetView topLeftCell="A34" zoomScale="75" zoomScaleNormal="75" zoomScaleSheetLayoutView="85" zoomScalePageLayoutView="40" workbookViewId="0">
      <selection activeCell="K24" sqref="K24:L24"/>
    </sheetView>
  </sheetViews>
  <sheetFormatPr defaultColWidth="9.109375" defaultRowHeight="14.4" x14ac:dyDescent="0.3"/>
  <cols>
    <col min="1" max="1" width="4.6640625" style="34" customWidth="1"/>
    <col min="2" max="2" width="12.109375" style="34" customWidth="1"/>
    <col min="3" max="3" width="9.109375" style="34" customWidth="1"/>
    <col min="4" max="4" width="9.109375" style="34"/>
    <col min="5" max="5" width="60.6640625" style="34" customWidth="1"/>
    <col min="6" max="6" width="16.44140625" style="34" customWidth="1"/>
    <col min="7" max="7" width="16.88671875" style="34" customWidth="1"/>
    <col min="8" max="8" width="18.5546875" style="34" hidden="1" customWidth="1"/>
    <col min="9" max="9" width="7.44140625" style="34" hidden="1" customWidth="1"/>
    <col min="10" max="10" width="10" style="34" customWidth="1"/>
    <col min="11" max="11" width="13.44140625" style="39" customWidth="1"/>
    <col min="12" max="12" width="17" style="39" customWidth="1"/>
    <col min="13" max="13" width="14.33203125" style="39" customWidth="1"/>
    <col min="14" max="14" width="9.88671875" style="39" customWidth="1"/>
    <col min="15" max="15" width="5" style="34" customWidth="1"/>
    <col min="16" max="16384" width="9.109375" style="34"/>
  </cols>
  <sheetData>
    <row r="1" spans="2:22" s="19" customFormat="1" ht="30" customHeight="1" x14ac:dyDescent="0.3">
      <c r="B1" s="264" t="str">
        <f>CONCATENATE('Cover Page'!B1:L1," ", 'Cover Page'!B2:L2," - SUPPORTING LANDSCAPE")</f>
        <v>FISH PASSAGE CREDIT CALCULATOR Version 1.1 - SUPPORTING LANDSCAPE</v>
      </c>
      <c r="C1" s="56"/>
      <c r="D1" s="56"/>
      <c r="E1" s="56"/>
      <c r="F1" s="56"/>
      <c r="G1" s="264"/>
      <c r="I1" s="40"/>
      <c r="J1" s="40"/>
      <c r="K1" s="40"/>
      <c r="M1" s="167"/>
      <c r="O1" s="40"/>
      <c r="P1" s="40"/>
      <c r="Q1" s="40"/>
      <c r="R1" s="40"/>
      <c r="S1" s="21"/>
      <c r="T1" s="21"/>
      <c r="U1" s="41"/>
      <c r="V1" s="21"/>
    </row>
    <row r="2" spans="2:22" s="39" customFormat="1" ht="13.8" x14ac:dyDescent="0.3">
      <c r="B2" s="26"/>
      <c r="C2" s="26"/>
      <c r="D2" s="26"/>
      <c r="E2" s="26"/>
      <c r="F2" s="42"/>
      <c r="G2" s="42"/>
      <c r="H2" s="30"/>
      <c r="I2" s="30"/>
      <c r="J2" s="30"/>
      <c r="K2" s="30"/>
      <c r="L2" s="30"/>
      <c r="M2" s="30"/>
      <c r="N2" s="30"/>
      <c r="O2" s="30"/>
      <c r="P2" s="30"/>
      <c r="Q2" s="30"/>
      <c r="R2" s="30"/>
      <c r="S2" s="25"/>
      <c r="T2" s="25"/>
      <c r="U2" s="26"/>
      <c r="V2" s="42"/>
    </row>
    <row r="3" spans="2:22" s="19" customFormat="1" ht="24.9" customHeight="1" x14ac:dyDescent="0.3">
      <c r="B3" s="509" t="str">
        <f>IF(Project_Site = "","", Project_Site)</f>
        <v>East Fork of South Fork Trask River</v>
      </c>
      <c r="C3" s="510"/>
      <c r="D3" s="510"/>
      <c r="E3" s="511"/>
      <c r="F3" s="57"/>
      <c r="L3" s="58" t="s">
        <v>80</v>
      </c>
      <c r="M3" s="27"/>
    </row>
    <row r="4" spans="2:22" s="19" customFormat="1" ht="13.8" x14ac:dyDescent="0.3">
      <c r="B4" s="36"/>
      <c r="C4" s="36"/>
      <c r="L4" s="58" t="s">
        <v>159</v>
      </c>
      <c r="M4" s="28"/>
    </row>
    <row r="5" spans="2:22" s="19" customFormat="1" ht="13.8" x14ac:dyDescent="0.3">
      <c r="B5" s="36"/>
      <c r="C5" s="36"/>
      <c r="L5" s="58"/>
      <c r="M5" s="191"/>
    </row>
    <row r="6" spans="2:22" s="16" customFormat="1" ht="24.9" customHeight="1" x14ac:dyDescent="0.3">
      <c r="B6" s="99" t="s">
        <v>233</v>
      </c>
      <c r="C6" s="479" t="s">
        <v>223</v>
      </c>
      <c r="D6" s="480"/>
      <c r="E6" s="480"/>
      <c r="F6" s="480"/>
      <c r="G6" s="481"/>
      <c r="H6" s="99" t="s">
        <v>9</v>
      </c>
      <c r="I6" s="99" t="s">
        <v>10</v>
      </c>
      <c r="J6" s="414" t="s">
        <v>295</v>
      </c>
      <c r="K6" s="415"/>
      <c r="L6" s="415"/>
      <c r="M6" s="415"/>
      <c r="N6" s="415"/>
      <c r="O6" s="416"/>
    </row>
    <row r="7" spans="2:22" s="16" customFormat="1" ht="15.6" x14ac:dyDescent="0.3">
      <c r="B7" s="117"/>
      <c r="C7" s="100"/>
      <c r="D7" s="100"/>
      <c r="E7" s="100"/>
      <c r="F7" s="118"/>
      <c r="G7" s="118"/>
      <c r="H7" s="116"/>
      <c r="I7" s="117"/>
      <c r="J7" s="100"/>
      <c r="K7" s="100"/>
      <c r="L7" s="100"/>
      <c r="M7" s="100"/>
      <c r="N7" s="100"/>
    </row>
    <row r="8" spans="2:22" s="16" customFormat="1" ht="20.100000000000001" customHeight="1" x14ac:dyDescent="0.3">
      <c r="B8" s="476" t="s">
        <v>4</v>
      </c>
      <c r="C8" s="476"/>
      <c r="D8" s="476"/>
      <c r="E8" s="476"/>
      <c r="F8" s="476"/>
      <c r="G8" s="476"/>
      <c r="H8" s="116"/>
      <c r="I8" s="117"/>
      <c r="J8" s="100"/>
      <c r="K8" s="100"/>
      <c r="L8" s="100"/>
      <c r="M8" s="100"/>
      <c r="N8" s="100"/>
      <c r="P8" s="53"/>
      <c r="Q8" s="53"/>
      <c r="R8" s="53"/>
      <c r="S8" s="53"/>
      <c r="T8" s="53"/>
      <c r="U8" s="53"/>
    </row>
    <row r="9" spans="2:22" s="17" customFormat="1" ht="16.2" thickBot="1" x14ac:dyDescent="0.35">
      <c r="B9" s="117"/>
      <c r="C9" s="127"/>
      <c r="D9" s="127"/>
      <c r="E9" s="127"/>
      <c r="F9" s="129"/>
      <c r="G9" s="129"/>
      <c r="H9" s="116"/>
      <c r="I9" s="117"/>
      <c r="J9" s="100"/>
      <c r="K9" s="514" t="s">
        <v>226</v>
      </c>
      <c r="L9" s="514"/>
      <c r="M9" s="514"/>
      <c r="N9" s="100"/>
      <c r="O9" s="16"/>
      <c r="P9" s="71"/>
      <c r="Q9" s="71"/>
      <c r="R9" s="71"/>
      <c r="S9" s="53"/>
      <c r="T9" s="53"/>
      <c r="U9" s="53"/>
    </row>
    <row r="10" spans="2:22" s="17" customFormat="1" ht="64.5" customHeight="1" x14ac:dyDescent="0.3">
      <c r="B10" s="104" t="s">
        <v>71</v>
      </c>
      <c r="C10" s="499" t="s">
        <v>368</v>
      </c>
      <c r="D10" s="483"/>
      <c r="E10" s="483"/>
      <c r="F10" s="484"/>
      <c r="G10" s="135" t="s">
        <v>19</v>
      </c>
      <c r="H10" s="116"/>
      <c r="I10" s="120"/>
      <c r="J10" s="143"/>
      <c r="K10" s="520" t="s">
        <v>291</v>
      </c>
      <c r="L10" s="520"/>
      <c r="M10" s="520"/>
      <c r="N10" s="520"/>
      <c r="P10" s="513"/>
      <c r="Q10" s="513"/>
      <c r="R10" s="513"/>
      <c r="S10" s="53"/>
      <c r="T10" s="53"/>
      <c r="U10" s="53"/>
    </row>
    <row r="11" spans="2:22" s="17" customFormat="1" ht="35.1" customHeight="1" x14ac:dyDescent="0.3">
      <c r="B11" s="117"/>
      <c r="C11" s="496" t="s">
        <v>95</v>
      </c>
      <c r="D11" s="497"/>
      <c r="E11" s="497"/>
      <c r="F11" s="498"/>
      <c r="G11" s="136" t="s">
        <v>152</v>
      </c>
      <c r="H11" s="116"/>
      <c r="I11" s="117"/>
      <c r="J11" s="143"/>
      <c r="K11" s="144"/>
      <c r="L11" s="145" t="s">
        <v>239</v>
      </c>
      <c r="M11" s="145" t="s">
        <v>210</v>
      </c>
      <c r="N11" s="145" t="s">
        <v>41</v>
      </c>
      <c r="P11" s="76"/>
      <c r="Q11" s="48"/>
      <c r="R11" s="48"/>
      <c r="S11" s="53"/>
      <c r="T11" s="53"/>
      <c r="U11" s="53"/>
    </row>
    <row r="12" spans="2:22" s="16" customFormat="1" ht="20.100000000000001" customHeight="1" x14ac:dyDescent="0.3">
      <c r="B12" s="117"/>
      <c r="C12" s="130"/>
      <c r="D12" s="130"/>
      <c r="E12" s="130"/>
      <c r="F12" s="138" t="s">
        <v>147</v>
      </c>
      <c r="G12" s="139">
        <f>IF(ProtectRiparian&lt;"a","",VLOOKUP(ProtectRiparian,LU_Pct_Protected_Score,2,FALSE))</f>
        <v>0.5</v>
      </c>
      <c r="H12" s="126"/>
      <c r="I12" s="117"/>
      <c r="J12" s="143"/>
      <c r="K12" s="145" t="s">
        <v>162</v>
      </c>
      <c r="L12" s="114">
        <v>18909</v>
      </c>
      <c r="M12" s="114">
        <v>5957</v>
      </c>
      <c r="N12" s="147">
        <f>IF(M12&lt;&gt;"",M12/(L12+M12)*100,"")</f>
        <v>23.956406337971529</v>
      </c>
      <c r="O12" s="17"/>
      <c r="P12" s="48"/>
      <c r="Q12" s="48"/>
      <c r="R12" s="60"/>
      <c r="S12" s="53"/>
      <c r="T12" s="53"/>
      <c r="U12" s="53"/>
    </row>
    <row r="13" spans="2:22" s="16" customFormat="1" ht="27" customHeight="1" x14ac:dyDescent="0.3">
      <c r="B13" s="154"/>
      <c r="C13" s="132"/>
      <c r="D13" s="132"/>
      <c r="E13" s="132"/>
      <c r="F13" s="164"/>
      <c r="G13" s="165"/>
      <c r="H13" s="126"/>
      <c r="I13" s="154"/>
      <c r="J13" s="143"/>
      <c r="K13" s="101"/>
      <c r="L13" s="101"/>
      <c r="M13" s="101"/>
      <c r="N13" s="183"/>
      <c r="O13" s="17"/>
      <c r="P13" s="48"/>
      <c r="Q13" s="48"/>
      <c r="R13" s="60"/>
      <c r="S13" s="53"/>
      <c r="T13" s="53"/>
      <c r="U13" s="53"/>
    </row>
    <row r="14" spans="2:22" s="16" customFormat="1" ht="16.2" thickBot="1" x14ac:dyDescent="0.35">
      <c r="B14" s="117"/>
      <c r="C14" s="100"/>
      <c r="D14" s="100"/>
      <c r="E14" s="100"/>
      <c r="F14" s="118"/>
      <c r="G14" s="118"/>
      <c r="H14" s="116"/>
      <c r="I14" s="117"/>
      <c r="J14" s="100"/>
      <c r="K14" s="519" t="s">
        <v>135</v>
      </c>
      <c r="L14" s="519"/>
      <c r="M14" s="519"/>
      <c r="N14" s="519"/>
      <c r="P14" s="512"/>
      <c r="Q14" s="512"/>
      <c r="R14" s="512"/>
      <c r="S14" s="53"/>
      <c r="T14" s="53"/>
      <c r="U14" s="53"/>
    </row>
    <row r="15" spans="2:22" s="16" customFormat="1" ht="50.1" customHeight="1" x14ac:dyDescent="0.3">
      <c r="B15" s="104" t="s">
        <v>67</v>
      </c>
      <c r="C15" s="516" t="s">
        <v>367</v>
      </c>
      <c r="D15" s="517"/>
      <c r="E15" s="517"/>
      <c r="F15" s="518"/>
      <c r="G15" s="135" t="s">
        <v>19</v>
      </c>
      <c r="H15" s="116"/>
      <c r="I15" s="120" t="s">
        <v>6</v>
      </c>
      <c r="J15" s="100"/>
      <c r="K15" s="144"/>
      <c r="L15" s="145" t="s">
        <v>365</v>
      </c>
      <c r="M15" s="145" t="s">
        <v>366</v>
      </c>
      <c r="N15" s="145" t="s">
        <v>41</v>
      </c>
      <c r="P15" s="76"/>
      <c r="Q15" s="48"/>
      <c r="R15" s="48"/>
      <c r="S15" s="53"/>
      <c r="T15" s="53"/>
      <c r="U15" s="53"/>
    </row>
    <row r="16" spans="2:22" s="16" customFormat="1" ht="35.1" customHeight="1" x14ac:dyDescent="0.3">
      <c r="B16" s="143"/>
      <c r="C16" s="472" t="s">
        <v>95</v>
      </c>
      <c r="D16" s="473"/>
      <c r="E16" s="473"/>
      <c r="F16" s="474"/>
      <c r="G16" s="146" t="s">
        <v>152</v>
      </c>
      <c r="H16" s="116"/>
      <c r="I16" s="117"/>
      <c r="J16" s="100"/>
      <c r="K16" s="145" t="s">
        <v>162</v>
      </c>
      <c r="L16" s="114">
        <v>67639</v>
      </c>
      <c r="M16" s="114">
        <v>10050</v>
      </c>
      <c r="N16" s="147">
        <f>IF(M16&lt;&gt;"",M16/(L16+M16)*100,"")</f>
        <v>12.936194313223236</v>
      </c>
      <c r="P16" s="48"/>
      <c r="Q16" s="48"/>
      <c r="R16" s="60"/>
      <c r="S16" s="53"/>
      <c r="T16" s="53"/>
      <c r="U16" s="53"/>
    </row>
    <row r="17" spans="2:21" s="16" customFormat="1" ht="20.100000000000001" customHeight="1" x14ac:dyDescent="0.3">
      <c r="B17" s="143"/>
      <c r="C17" s="119"/>
      <c r="D17" s="119"/>
      <c r="E17" s="119"/>
      <c r="F17" s="138" t="s">
        <v>147</v>
      </c>
      <c r="G17" s="148">
        <f>IF(ProtectContArea&lt;"a","",VLOOKUP(ProtectContArea,LU_Pct_Protected_Score,2,FALSE))</f>
        <v>0.5</v>
      </c>
      <c r="H17" s="116"/>
      <c r="I17" s="117"/>
      <c r="J17" s="100"/>
      <c r="K17" s="149"/>
      <c r="L17" s="149"/>
      <c r="M17" s="150"/>
      <c r="N17" s="100"/>
      <c r="P17" s="48"/>
      <c r="Q17" s="48"/>
      <c r="R17" s="60"/>
      <c r="S17" s="53"/>
      <c r="T17" s="53"/>
      <c r="U17" s="53"/>
    </row>
    <row r="18" spans="2:21" s="16" customFormat="1" ht="16.5" customHeight="1" x14ac:dyDescent="0.3">
      <c r="B18" s="105"/>
      <c r="C18" s="105"/>
      <c r="D18" s="105"/>
      <c r="E18" s="105"/>
      <c r="F18" s="105"/>
      <c r="G18" s="105"/>
      <c r="H18" s="105"/>
      <c r="I18" s="105"/>
      <c r="J18" s="102"/>
      <c r="K18" s="100"/>
      <c r="L18" s="100"/>
      <c r="M18" s="100"/>
      <c r="N18" s="100"/>
      <c r="P18" s="48"/>
      <c r="Q18" s="48"/>
      <c r="R18" s="60"/>
      <c r="S18" s="53"/>
      <c r="T18" s="53"/>
      <c r="U18" s="53"/>
    </row>
    <row r="19" spans="2:21" s="16" customFormat="1" ht="16.5" customHeight="1" x14ac:dyDescent="0.3">
      <c r="B19" s="105"/>
      <c r="C19" s="410" t="s">
        <v>216</v>
      </c>
      <c r="D19" s="410"/>
      <c r="E19" s="410"/>
      <c r="F19" s="410"/>
      <c r="G19" s="410"/>
      <c r="H19" s="105"/>
      <c r="I19" s="105"/>
      <c r="J19" s="100"/>
      <c r="K19" s="100"/>
      <c r="L19" s="100"/>
      <c r="M19" s="100"/>
      <c r="N19" s="100"/>
      <c r="P19" s="48"/>
      <c r="Q19" s="48"/>
      <c r="R19" s="60"/>
      <c r="S19" s="53"/>
      <c r="T19" s="53"/>
      <c r="U19" s="53"/>
    </row>
    <row r="20" spans="2:21" s="16" customFormat="1" ht="35.1" customHeight="1" x14ac:dyDescent="0.3">
      <c r="B20" s="105"/>
      <c r="C20" s="495"/>
      <c r="D20" s="495"/>
      <c r="E20" s="495"/>
      <c r="F20" s="495"/>
      <c r="G20" s="495"/>
      <c r="H20" s="105"/>
      <c r="I20" s="105"/>
      <c r="J20" s="100"/>
      <c r="K20" s="100"/>
      <c r="L20" s="100"/>
      <c r="M20" s="100"/>
      <c r="N20" s="100"/>
      <c r="P20" s="48"/>
      <c r="Q20" s="48"/>
      <c r="R20" s="60"/>
      <c r="S20" s="53"/>
      <c r="T20" s="53"/>
      <c r="U20" s="53"/>
    </row>
    <row r="21" spans="2:21" s="16" customFormat="1" ht="16.5" customHeight="1" x14ac:dyDescent="0.3">
      <c r="B21" s="105"/>
      <c r="C21" s="105"/>
      <c r="D21" s="105"/>
      <c r="E21" s="105"/>
      <c r="F21" s="105"/>
      <c r="G21" s="105"/>
      <c r="H21" s="105"/>
      <c r="I21" s="105"/>
      <c r="J21" s="130"/>
      <c r="K21" s="100"/>
      <c r="L21" s="100"/>
      <c r="M21" s="100"/>
      <c r="N21" s="130"/>
      <c r="P21" s="48"/>
      <c r="Q21" s="48"/>
      <c r="R21" s="60"/>
      <c r="S21" s="53"/>
      <c r="T21" s="53"/>
      <c r="U21" s="53"/>
    </row>
    <row r="22" spans="2:21" s="16" customFormat="1" ht="20.100000000000001" customHeight="1" x14ac:dyDescent="0.3">
      <c r="B22" s="476" t="s">
        <v>2</v>
      </c>
      <c r="C22" s="476"/>
      <c r="D22" s="476"/>
      <c r="E22" s="476"/>
      <c r="F22" s="476"/>
      <c r="G22" s="476"/>
      <c r="H22" s="151"/>
      <c r="I22" s="151"/>
      <c r="J22" s="117"/>
      <c r="K22" s="100"/>
      <c r="L22" s="100"/>
      <c r="M22" s="100"/>
      <c r="N22" s="100"/>
      <c r="P22" s="53"/>
      <c r="Q22" s="53"/>
      <c r="R22" s="53"/>
      <c r="S22" s="53"/>
      <c r="T22" s="53"/>
      <c r="U22" s="53"/>
    </row>
    <row r="23" spans="2:21" s="16" customFormat="1" ht="16.2" thickBot="1" x14ac:dyDescent="0.35">
      <c r="B23" s="118"/>
      <c r="C23" s="119"/>
      <c r="D23" s="119"/>
      <c r="E23" s="119"/>
      <c r="F23" s="152"/>
      <c r="G23" s="152"/>
      <c r="H23" s="116"/>
      <c r="I23" s="117"/>
      <c r="J23" s="100"/>
      <c r="K23" s="143"/>
      <c r="L23" s="143"/>
      <c r="M23" s="100"/>
      <c r="N23" s="100"/>
      <c r="P23" s="53"/>
      <c r="Q23" s="53"/>
      <c r="R23" s="53"/>
      <c r="S23" s="53"/>
      <c r="T23" s="53"/>
      <c r="U23" s="53"/>
    </row>
    <row r="24" spans="2:21" s="16" customFormat="1" ht="79.5" customHeight="1" x14ac:dyDescent="0.3">
      <c r="B24" s="104" t="s">
        <v>61</v>
      </c>
      <c r="C24" s="482" t="s">
        <v>292</v>
      </c>
      <c r="D24" s="483"/>
      <c r="E24" s="483"/>
      <c r="F24" s="484"/>
      <c r="G24" s="140" t="s">
        <v>19</v>
      </c>
      <c r="H24" s="153"/>
      <c r="I24" s="120" t="s">
        <v>35</v>
      </c>
      <c r="J24" s="100"/>
      <c r="K24" s="515"/>
      <c r="L24" s="515"/>
      <c r="M24" s="100"/>
      <c r="N24" s="100"/>
    </row>
    <row r="25" spans="2:21" s="16" customFormat="1" ht="33" customHeight="1" x14ac:dyDescent="0.3">
      <c r="B25" s="117"/>
      <c r="C25" s="522" t="s">
        <v>369</v>
      </c>
      <c r="D25" s="522"/>
      <c r="E25" s="522"/>
      <c r="F25" s="522"/>
      <c r="G25" s="155" t="s">
        <v>115</v>
      </c>
      <c r="H25" s="116"/>
      <c r="I25" s="117"/>
      <c r="J25" s="100"/>
      <c r="K25" s="143"/>
      <c r="L25" s="143"/>
      <c r="M25" s="100"/>
      <c r="N25" s="100"/>
    </row>
    <row r="26" spans="2:21" s="16" customFormat="1" ht="20.100000000000001" customHeight="1" x14ac:dyDescent="0.3">
      <c r="B26" s="117"/>
      <c r="C26" s="119"/>
      <c r="D26" s="156"/>
      <c r="E26" s="130"/>
      <c r="F26" s="157" t="s">
        <v>147</v>
      </c>
      <c r="G26" s="139">
        <f>IF(NNSpec&lt;"a","",VLOOKUP(NNSpec,LU_NNSp_Score,2,FALSE))</f>
        <v>1</v>
      </c>
      <c r="H26" s="126"/>
      <c r="I26" s="117"/>
      <c r="J26" s="100"/>
      <c r="K26" s="143"/>
      <c r="L26" s="143"/>
      <c r="M26" s="100"/>
      <c r="N26" s="100"/>
    </row>
    <row r="27" spans="2:21" s="16" customFormat="1" ht="15.6" x14ac:dyDescent="0.3">
      <c r="B27" s="117"/>
      <c r="C27" s="119"/>
      <c r="D27" s="156"/>
      <c r="E27" s="156"/>
      <c r="F27" s="156"/>
      <c r="G27" s="158"/>
      <c r="H27" s="130"/>
      <c r="I27" s="101"/>
      <c r="J27" s="102"/>
      <c r="K27" s="143"/>
      <c r="L27" s="143"/>
      <c r="M27" s="100"/>
      <c r="N27" s="100"/>
    </row>
    <row r="28" spans="2:21" s="16" customFormat="1" ht="16.5" customHeight="1" x14ac:dyDescent="0.3">
      <c r="B28" s="105"/>
      <c r="C28" s="410" t="s">
        <v>215</v>
      </c>
      <c r="D28" s="410"/>
      <c r="E28" s="410"/>
      <c r="F28" s="410"/>
      <c r="G28" s="410"/>
      <c r="H28" s="105"/>
      <c r="I28" s="105"/>
      <c r="J28" s="100"/>
      <c r="K28" s="100"/>
      <c r="L28" s="100"/>
      <c r="M28" s="100"/>
      <c r="N28" s="100"/>
      <c r="P28" s="48"/>
      <c r="Q28" s="48"/>
      <c r="R28" s="60"/>
      <c r="S28" s="53"/>
      <c r="T28" s="53"/>
      <c r="U28" s="53"/>
    </row>
    <row r="29" spans="2:21" s="16" customFormat="1" ht="35.1" customHeight="1" x14ac:dyDescent="0.3">
      <c r="B29" s="105"/>
      <c r="C29" s="495" t="s">
        <v>422</v>
      </c>
      <c r="D29" s="495"/>
      <c r="E29" s="495"/>
      <c r="F29" s="495"/>
      <c r="G29" s="495"/>
      <c r="H29" s="105"/>
      <c r="I29" s="105"/>
      <c r="J29" s="100"/>
      <c r="K29" s="100"/>
      <c r="L29" s="100"/>
      <c r="M29" s="100"/>
      <c r="N29" s="100"/>
      <c r="P29" s="48"/>
      <c r="Q29" s="48"/>
      <c r="R29" s="60"/>
      <c r="S29" s="53"/>
      <c r="T29" s="53"/>
      <c r="U29" s="53"/>
    </row>
    <row r="30" spans="2:21" s="16" customFormat="1" ht="15.6" x14ac:dyDescent="0.3">
      <c r="B30" s="117"/>
      <c r="C30" s="119"/>
      <c r="D30" s="156"/>
      <c r="E30" s="156"/>
      <c r="F30" s="156"/>
      <c r="G30" s="158"/>
      <c r="H30" s="116"/>
      <c r="I30" s="117"/>
      <c r="J30" s="100"/>
      <c r="K30" s="143"/>
      <c r="L30" s="143"/>
      <c r="M30" s="100"/>
      <c r="N30" s="100"/>
    </row>
    <row r="31" spans="2:21" s="16" customFormat="1" ht="20.100000000000001" customHeight="1" x14ac:dyDescent="0.3">
      <c r="B31" s="492" t="s">
        <v>0</v>
      </c>
      <c r="C31" s="493"/>
      <c r="D31" s="493"/>
      <c r="E31" s="493"/>
      <c r="F31" s="493"/>
      <c r="G31" s="494"/>
      <c r="H31" s="116"/>
      <c r="I31" s="117"/>
      <c r="J31" s="100"/>
      <c r="K31" s="100"/>
      <c r="L31" s="100"/>
      <c r="M31" s="100"/>
      <c r="N31" s="100"/>
    </row>
    <row r="32" spans="2:21" s="16" customFormat="1" ht="16.2" thickBot="1" x14ac:dyDescent="0.35">
      <c r="B32" s="117"/>
      <c r="C32" s="508"/>
      <c r="D32" s="508"/>
      <c r="E32" s="508"/>
      <c r="F32" s="118"/>
      <c r="G32" s="117"/>
      <c r="H32" s="116"/>
      <c r="I32" s="117"/>
      <c r="J32" s="100"/>
      <c r="K32" s="100"/>
      <c r="L32" s="100"/>
      <c r="M32" s="100"/>
      <c r="N32" s="100"/>
    </row>
    <row r="33" spans="2:21" s="16" customFormat="1" ht="65.099999999999994" customHeight="1" x14ac:dyDescent="0.3">
      <c r="B33" s="104" t="s">
        <v>64</v>
      </c>
      <c r="C33" s="482" t="s">
        <v>371</v>
      </c>
      <c r="D33" s="483"/>
      <c r="E33" s="483"/>
      <c r="F33" s="484"/>
      <c r="G33" s="135" t="s">
        <v>19</v>
      </c>
      <c r="H33" s="116"/>
      <c r="I33" s="120" t="s">
        <v>5</v>
      </c>
      <c r="J33" s="100"/>
      <c r="K33" s="100"/>
      <c r="L33" s="100"/>
      <c r="M33" s="100"/>
      <c r="N33" s="100"/>
    </row>
    <row r="34" spans="2:21" s="16" customFormat="1" ht="20.100000000000001" customHeight="1" x14ac:dyDescent="0.3">
      <c r="B34" s="117"/>
      <c r="C34" s="496" t="s">
        <v>1</v>
      </c>
      <c r="D34" s="497"/>
      <c r="E34" s="497"/>
      <c r="F34" s="498"/>
      <c r="G34" s="159" t="s">
        <v>14</v>
      </c>
      <c r="H34" s="116"/>
      <c r="I34" s="117"/>
      <c r="J34" s="100"/>
      <c r="K34" s="100"/>
      <c r="L34" s="100"/>
      <c r="M34" s="100"/>
      <c r="N34" s="100"/>
    </row>
    <row r="35" spans="2:21" s="16" customFormat="1" ht="20.100000000000001" customHeight="1" x14ac:dyDescent="0.3">
      <c r="B35" s="117"/>
      <c r="C35" s="119"/>
      <c r="D35" s="156"/>
      <c r="E35" s="130"/>
      <c r="F35" s="138" t="s">
        <v>147</v>
      </c>
      <c r="G35" s="148">
        <f>IF(DEQ303d&lt;"a","",VLOOKUP(DEQ303d,LU_DEQ303D_Score,2,FALSE))</f>
        <v>0.25</v>
      </c>
      <c r="H35" s="116"/>
      <c r="I35" s="117"/>
      <c r="J35" s="100"/>
      <c r="K35" s="143"/>
      <c r="L35" s="143"/>
      <c r="M35" s="100"/>
      <c r="N35" s="100"/>
    </row>
    <row r="36" spans="2:21" s="16" customFormat="1" ht="20.25" customHeight="1" thickBot="1" x14ac:dyDescent="0.35">
      <c r="B36" s="117"/>
      <c r="C36" s="119"/>
      <c r="D36" s="119"/>
      <c r="E36" s="119"/>
      <c r="F36" s="119"/>
      <c r="G36" s="119"/>
      <c r="H36" s="160"/>
      <c r="I36" s="117"/>
      <c r="J36" s="100"/>
      <c r="K36" s="523" t="s">
        <v>227</v>
      </c>
      <c r="L36" s="523"/>
      <c r="M36" s="523"/>
      <c r="N36" s="523"/>
    </row>
    <row r="37" spans="2:21" s="16" customFormat="1" ht="54.75" customHeight="1" x14ac:dyDescent="0.3">
      <c r="B37" s="104" t="s">
        <v>65</v>
      </c>
      <c r="C37" s="499" t="s">
        <v>257</v>
      </c>
      <c r="D37" s="500"/>
      <c r="E37" s="500"/>
      <c r="F37" s="501"/>
      <c r="G37" s="140" t="s">
        <v>19</v>
      </c>
      <c r="H37" s="116"/>
      <c r="I37" s="120" t="s">
        <v>33</v>
      </c>
      <c r="J37" s="100"/>
      <c r="K37" s="524" t="s">
        <v>166</v>
      </c>
      <c r="L37" s="524"/>
      <c r="M37" s="524"/>
      <c r="N37" s="100"/>
    </row>
    <row r="38" spans="2:21" s="16" customFormat="1" ht="46.8" x14ac:dyDescent="0.3">
      <c r="B38" s="117"/>
      <c r="C38" s="496" t="s">
        <v>52</v>
      </c>
      <c r="D38" s="497"/>
      <c r="E38" s="497"/>
      <c r="F38" s="498"/>
      <c r="G38" s="141" t="s">
        <v>145</v>
      </c>
      <c r="H38" s="116"/>
      <c r="I38" s="117"/>
      <c r="J38" s="100"/>
      <c r="K38" s="122" t="s">
        <v>240</v>
      </c>
      <c r="L38" s="122" t="s">
        <v>242</v>
      </c>
      <c r="M38" s="122" t="s">
        <v>241</v>
      </c>
      <c r="N38" s="122" t="s">
        <v>41</v>
      </c>
    </row>
    <row r="39" spans="2:21" s="16" customFormat="1" ht="20.100000000000001" customHeight="1" x14ac:dyDescent="0.3">
      <c r="B39" s="117"/>
      <c r="C39" s="119"/>
      <c r="D39" s="119"/>
      <c r="E39" s="119"/>
      <c r="F39" s="138" t="s">
        <v>147</v>
      </c>
      <c r="G39" s="139">
        <f>IF(PctAgriculture&lt;"a","",VLOOKUP(PctAgriculture,LU_PctAgrigulture_Score,2,FALSE))</f>
        <v>1</v>
      </c>
      <c r="H39" s="126"/>
      <c r="I39" s="117"/>
      <c r="J39" s="100"/>
      <c r="K39" s="115"/>
      <c r="L39" s="115"/>
      <c r="M39" s="115"/>
      <c r="N39" s="161" t="str">
        <f>IF(M39="","",(K39+L39)/M39*100)</f>
        <v/>
      </c>
    </row>
    <row r="40" spans="2:21" s="16" customFormat="1" ht="16.2" thickBot="1" x14ac:dyDescent="0.35">
      <c r="B40" s="117"/>
      <c r="C40" s="127"/>
      <c r="D40" s="127"/>
      <c r="E40" s="127"/>
      <c r="F40" s="119"/>
      <c r="G40" s="119"/>
      <c r="H40" s="130"/>
      <c r="I40" s="101"/>
      <c r="J40" s="102"/>
      <c r="K40" s="100"/>
      <c r="L40" s="100"/>
      <c r="M40" s="100"/>
      <c r="N40" s="100"/>
    </row>
    <row r="41" spans="2:21" s="16" customFormat="1" ht="28.5" customHeight="1" x14ac:dyDescent="0.3">
      <c r="B41" s="104" t="s">
        <v>66</v>
      </c>
      <c r="C41" s="505" t="s">
        <v>258</v>
      </c>
      <c r="D41" s="506"/>
      <c r="E41" s="506"/>
      <c r="F41" s="507"/>
      <c r="G41" s="140" t="s">
        <v>19</v>
      </c>
      <c r="H41" s="151"/>
      <c r="I41" s="162" t="s">
        <v>53</v>
      </c>
      <c r="J41" s="100"/>
      <c r="K41" s="525" t="s">
        <v>228</v>
      </c>
      <c r="L41" s="525"/>
      <c r="M41" s="525"/>
      <c r="N41" s="100"/>
    </row>
    <row r="42" spans="2:21" s="16" customFormat="1" ht="47.25" customHeight="1" x14ac:dyDescent="0.3">
      <c r="B42" s="143"/>
      <c r="C42" s="496" t="s">
        <v>259</v>
      </c>
      <c r="D42" s="497"/>
      <c r="E42" s="497"/>
      <c r="F42" s="498"/>
      <c r="G42" s="141" t="s">
        <v>420</v>
      </c>
      <c r="H42" s="116"/>
      <c r="I42" s="117"/>
      <c r="J42" s="100"/>
      <c r="K42" s="184" t="s">
        <v>167</v>
      </c>
      <c r="L42" s="194" t="s">
        <v>308</v>
      </c>
      <c r="M42" s="184" t="s">
        <v>260</v>
      </c>
      <c r="N42" s="184" t="s">
        <v>168</v>
      </c>
      <c r="O42" s="100"/>
    </row>
    <row r="43" spans="2:21" s="16" customFormat="1" ht="20.100000000000001" customHeight="1" x14ac:dyDescent="0.3">
      <c r="B43" s="117"/>
      <c r="C43" s="100"/>
      <c r="D43" s="100"/>
      <c r="E43" s="100"/>
      <c r="F43" s="138" t="s">
        <v>147</v>
      </c>
      <c r="G43" s="139">
        <f>IF(RoadDensity&lt;"a","",VLOOKUP(RoadDensity,LU_RoadDensity_Score,2,FALSE))</f>
        <v>0.3</v>
      </c>
      <c r="H43" s="126"/>
      <c r="I43" s="117"/>
      <c r="J43" s="100"/>
      <c r="K43" s="163">
        <v>102.3</v>
      </c>
      <c r="L43" s="229">
        <v>77679</v>
      </c>
      <c r="M43" s="161">
        <f>IF(L43="","",L43*900 *0.0000003861)</f>
        <v>26.99267571</v>
      </c>
      <c r="N43" s="161">
        <f>IF(OR(K43="",M43=""),"",K43/M43)</f>
        <v>3.7899169796679635</v>
      </c>
      <c r="O43" s="100"/>
    </row>
    <row r="44" spans="2:21" s="17" customFormat="1" ht="15.6" x14ac:dyDescent="0.3">
      <c r="B44" s="117"/>
      <c r="C44" s="143"/>
      <c r="D44" s="143"/>
      <c r="E44" s="143"/>
      <c r="F44" s="164"/>
      <c r="G44" s="165"/>
      <c r="H44" s="130"/>
      <c r="I44" s="101"/>
      <c r="J44" s="130"/>
      <c r="K44" s="150"/>
      <c r="L44" s="150"/>
      <c r="M44" s="150"/>
      <c r="N44" s="143"/>
    </row>
    <row r="45" spans="2:21" s="16" customFormat="1" ht="16.5" customHeight="1" x14ac:dyDescent="0.3">
      <c r="B45" s="105"/>
      <c r="C45" s="410" t="s">
        <v>214</v>
      </c>
      <c r="D45" s="410"/>
      <c r="E45" s="410"/>
      <c r="F45" s="410"/>
      <c r="G45" s="410"/>
      <c r="H45" s="105"/>
      <c r="I45" s="105"/>
      <c r="J45" s="100"/>
      <c r="K45" s="100"/>
      <c r="L45" s="100"/>
      <c r="M45" s="100"/>
      <c r="N45" s="100"/>
      <c r="P45" s="48"/>
      <c r="Q45" s="48"/>
      <c r="R45" s="60"/>
      <c r="S45" s="53"/>
      <c r="T45" s="53"/>
      <c r="U45" s="53"/>
    </row>
    <row r="46" spans="2:21" s="16" customFormat="1" ht="35.1" customHeight="1" x14ac:dyDescent="0.3">
      <c r="B46" s="105"/>
      <c r="C46" s="495"/>
      <c r="D46" s="495"/>
      <c r="E46" s="495"/>
      <c r="F46" s="495"/>
      <c r="G46" s="495"/>
      <c r="H46" s="105"/>
      <c r="I46" s="105"/>
      <c r="J46" s="100"/>
      <c r="K46" s="100"/>
      <c r="L46" s="100"/>
      <c r="M46" s="100"/>
      <c r="N46" s="100"/>
      <c r="P46" s="48"/>
      <c r="Q46" s="48"/>
      <c r="R46" s="60"/>
      <c r="S46" s="53"/>
      <c r="T46" s="53"/>
      <c r="U46" s="53"/>
    </row>
    <row r="47" spans="2:21" s="16" customFormat="1" ht="12.75" customHeight="1" x14ac:dyDescent="0.3">
      <c r="B47" s="117"/>
      <c r="C47" s="127"/>
      <c r="D47" s="127"/>
      <c r="E47" s="127"/>
      <c r="F47" s="129"/>
      <c r="G47" s="129"/>
      <c r="H47" s="116"/>
      <c r="I47" s="117"/>
      <c r="J47" s="100"/>
      <c r="K47" s="100"/>
      <c r="L47" s="100"/>
      <c r="M47" s="100"/>
      <c r="N47" s="100"/>
    </row>
    <row r="48" spans="2:21" s="16" customFormat="1" ht="20.100000000000001" customHeight="1" x14ac:dyDescent="0.3">
      <c r="B48" s="492" t="s">
        <v>81</v>
      </c>
      <c r="C48" s="493"/>
      <c r="D48" s="493"/>
      <c r="E48" s="493"/>
      <c r="F48" s="493"/>
      <c r="G48" s="494"/>
      <c r="H48" s="116"/>
      <c r="I48" s="117"/>
      <c r="J48" s="100"/>
      <c r="K48" s="100"/>
      <c r="L48" s="100"/>
      <c r="M48" s="100"/>
      <c r="N48" s="100"/>
    </row>
    <row r="49" spans="2:21" s="16" customFormat="1" ht="18" customHeight="1" thickBot="1" x14ac:dyDescent="0.35">
      <c r="B49" s="117"/>
      <c r="C49" s="100"/>
      <c r="D49" s="100"/>
      <c r="E49" s="100"/>
      <c r="F49" s="118"/>
      <c r="G49" s="117"/>
      <c r="H49" s="116"/>
      <c r="I49" s="117"/>
      <c r="J49" s="100"/>
      <c r="K49" s="526" t="s">
        <v>229</v>
      </c>
      <c r="L49" s="526"/>
      <c r="M49" s="526"/>
      <c r="N49" s="100"/>
    </row>
    <row r="50" spans="2:21" s="16" customFormat="1" ht="50.1" customHeight="1" x14ac:dyDescent="0.3">
      <c r="B50" s="104" t="s">
        <v>68</v>
      </c>
      <c r="C50" s="502" t="s">
        <v>293</v>
      </c>
      <c r="D50" s="503"/>
      <c r="E50" s="503"/>
      <c r="F50" s="504"/>
      <c r="G50" s="135" t="s">
        <v>19</v>
      </c>
      <c r="H50" s="116"/>
      <c r="I50" s="104"/>
      <c r="J50" s="100"/>
      <c r="K50" s="184" t="s">
        <v>169</v>
      </c>
      <c r="L50" s="184" t="s">
        <v>310</v>
      </c>
      <c r="M50" s="184" t="s">
        <v>168</v>
      </c>
      <c r="N50" s="100"/>
    </row>
    <row r="51" spans="2:21" s="16" customFormat="1" ht="30" customHeight="1" x14ac:dyDescent="0.3">
      <c r="B51" s="117"/>
      <c r="C51" s="496" t="s">
        <v>51</v>
      </c>
      <c r="D51" s="497"/>
      <c r="E51" s="497"/>
      <c r="F51" s="498"/>
      <c r="G51" s="146" t="s">
        <v>134</v>
      </c>
      <c r="H51" s="116"/>
      <c r="I51" s="117"/>
      <c r="J51" s="100"/>
      <c r="K51" s="115">
        <v>115</v>
      </c>
      <c r="L51" s="163">
        <v>100.44</v>
      </c>
      <c r="M51" s="166">
        <f>IF(OR(K51="",L51=""),"", IF(L51=0,0,K51/L51))</f>
        <v>1.1449621664675429</v>
      </c>
      <c r="N51" s="100"/>
    </row>
    <row r="52" spans="2:21" ht="20.100000000000001" customHeight="1" x14ac:dyDescent="0.3">
      <c r="B52" s="117"/>
      <c r="C52" s="127"/>
      <c r="D52" s="127"/>
      <c r="E52" s="127"/>
      <c r="F52" s="138" t="s">
        <v>147</v>
      </c>
      <c r="G52" s="148">
        <f>IF(StreamXDen&lt;"a","",VLOOKUP(StreamXDen,LU_StreamXDensity_Score,2,FALSE))</f>
        <v>0.3</v>
      </c>
      <c r="H52" s="87"/>
      <c r="I52" s="117"/>
      <c r="J52" s="100"/>
      <c r="K52" s="521" t="s">
        <v>170</v>
      </c>
      <c r="L52" s="521"/>
      <c r="M52" s="521"/>
      <c r="N52" s="100"/>
      <c r="O52" s="16"/>
      <c r="P52" s="16"/>
    </row>
    <row r="53" spans="2:21" ht="12.75" customHeight="1" x14ac:dyDescent="0.3">
      <c r="B53" s="87"/>
      <c r="C53" s="87"/>
      <c r="D53" s="87"/>
      <c r="E53" s="87"/>
      <c r="F53" s="87"/>
      <c r="G53" s="87"/>
      <c r="H53" s="87"/>
      <c r="I53" s="87"/>
      <c r="J53" s="87"/>
      <c r="K53" s="87"/>
      <c r="L53" s="87"/>
      <c r="M53" s="87"/>
      <c r="N53" s="87"/>
    </row>
    <row r="54" spans="2:21" s="16" customFormat="1" ht="16.5" customHeight="1" x14ac:dyDescent="0.3">
      <c r="B54" s="105"/>
      <c r="C54" s="410" t="s">
        <v>213</v>
      </c>
      <c r="D54" s="410"/>
      <c r="E54" s="410"/>
      <c r="F54" s="410"/>
      <c r="G54" s="410"/>
      <c r="H54" s="105"/>
      <c r="I54" s="105"/>
      <c r="J54" s="100"/>
      <c r="K54" s="100"/>
      <c r="L54" s="100"/>
      <c r="M54" s="100"/>
      <c r="N54" s="100"/>
      <c r="P54" s="48"/>
      <c r="Q54" s="48"/>
      <c r="R54" s="60"/>
      <c r="S54" s="53"/>
      <c r="T54" s="53"/>
      <c r="U54" s="53"/>
    </row>
    <row r="55" spans="2:21" s="16" customFormat="1" ht="35.1" customHeight="1" x14ac:dyDescent="0.3">
      <c r="B55" s="105"/>
      <c r="C55" s="411" t="s">
        <v>419</v>
      </c>
      <c r="D55" s="411"/>
      <c r="E55" s="411"/>
      <c r="F55" s="411"/>
      <c r="G55" s="411"/>
      <c r="H55" s="105"/>
      <c r="I55" s="105"/>
      <c r="J55" s="100"/>
      <c r="K55" s="100"/>
      <c r="L55" s="100"/>
      <c r="M55" s="100"/>
      <c r="N55" s="100"/>
      <c r="P55" s="48"/>
      <c r="Q55" s="48"/>
      <c r="R55" s="60"/>
      <c r="S55" s="53"/>
      <c r="T55" s="53"/>
      <c r="U55" s="53"/>
    </row>
    <row r="56" spans="2:21" ht="15.6" x14ac:dyDescent="0.3">
      <c r="B56" s="87"/>
      <c r="C56" s="87"/>
      <c r="D56" s="87"/>
      <c r="E56" s="87"/>
      <c r="F56" s="87"/>
      <c r="G56" s="87"/>
      <c r="H56" s="87"/>
      <c r="I56" s="87"/>
      <c r="J56" s="87"/>
      <c r="K56" s="87"/>
      <c r="L56" s="87"/>
      <c r="M56" s="87"/>
      <c r="N56" s="87"/>
    </row>
  </sheetData>
  <dataConsolidate/>
  <mergeCells count="41">
    <mergeCell ref="K52:M52"/>
    <mergeCell ref="C25:F25"/>
    <mergeCell ref="K36:N36"/>
    <mergeCell ref="K37:M37"/>
    <mergeCell ref="K41:M41"/>
    <mergeCell ref="C38:F38"/>
    <mergeCell ref="C45:G45"/>
    <mergeCell ref="C46:G46"/>
    <mergeCell ref="K49:M49"/>
    <mergeCell ref="B3:E3"/>
    <mergeCell ref="C6:G6"/>
    <mergeCell ref="C28:G28"/>
    <mergeCell ref="C29:G29"/>
    <mergeCell ref="P14:R14"/>
    <mergeCell ref="P10:R10"/>
    <mergeCell ref="K9:M9"/>
    <mergeCell ref="K24:L24"/>
    <mergeCell ref="C24:F24"/>
    <mergeCell ref="C10:F10"/>
    <mergeCell ref="C15:F15"/>
    <mergeCell ref="C16:F16"/>
    <mergeCell ref="C11:F11"/>
    <mergeCell ref="K14:N14"/>
    <mergeCell ref="K10:N10"/>
    <mergeCell ref="J6:O6"/>
    <mergeCell ref="C54:G54"/>
    <mergeCell ref="C55:G55"/>
    <mergeCell ref="B31:G31"/>
    <mergeCell ref="B22:G22"/>
    <mergeCell ref="B8:G8"/>
    <mergeCell ref="C19:G19"/>
    <mergeCell ref="C20:G20"/>
    <mergeCell ref="B48:G48"/>
    <mergeCell ref="C33:F33"/>
    <mergeCell ref="C34:F34"/>
    <mergeCell ref="C37:F37"/>
    <mergeCell ref="C51:F51"/>
    <mergeCell ref="C50:F50"/>
    <mergeCell ref="C41:F41"/>
    <mergeCell ref="C42:F42"/>
    <mergeCell ref="C32:E32"/>
  </mergeCells>
  <dataValidations count="1">
    <dataValidation type="list" allowBlank="1" showInputMessage="1" showErrorMessage="1" sqref="G30">
      <formula1>Yes_No</formula1>
    </dataValidation>
  </dataValidations>
  <printOptions horizontalCentered="1"/>
  <pageMargins left="0.5" right="0.5" top="0.5" bottom="0.5" header="0.3" footer="0.3"/>
  <pageSetup scale="65" fitToHeight="0" orientation="landscape" r:id="rId1"/>
  <headerFooter>
    <oddFooter>&amp;C&amp;P</oddFooter>
  </headerFooter>
  <rowBreaks count="1" manualBreakCount="1">
    <brk id="30" min="1" max="14"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 lists'!$C$37:$C$42</xm:f>
          </x14:formula1>
          <xm:sqref>G16</xm:sqref>
        </x14:dataValidation>
        <x14:dataValidation type="list" allowBlank="1" showInputMessage="1" showErrorMessage="1">
          <x14:formula1>
            <xm:f>'Dropdown lists'!$C$37:$C$42</xm:f>
          </x14:formula1>
          <xm:sqref>G11</xm:sqref>
        </x14:dataValidation>
        <x14:dataValidation type="list" allowBlank="1" showInputMessage="1" showErrorMessage="1">
          <x14:formula1>
            <xm:f>'Dropdown lists'!$F$37:$F$40</xm:f>
          </x14:formula1>
          <xm:sqref>G25</xm:sqref>
        </x14:dataValidation>
        <x14:dataValidation type="list" allowBlank="1" showInputMessage="1" showErrorMessage="1">
          <x14:formula1>
            <xm:f>'Dropdown lists'!$I$37:$I$39</xm:f>
          </x14:formula1>
          <xm:sqref>G34</xm:sqref>
        </x14:dataValidation>
        <x14:dataValidation type="list" allowBlank="1" showInputMessage="1" showErrorMessage="1">
          <x14:formula1>
            <xm:f>'Dropdown lists'!$C$46:$C$50</xm:f>
          </x14:formula1>
          <xm:sqref>G38</xm:sqref>
        </x14:dataValidation>
        <x14:dataValidation type="list" allowBlank="1" showInputMessage="1" showErrorMessage="1">
          <x14:formula1>
            <xm:f>'Dropdown lists'!$F$46:$F$49</xm:f>
          </x14:formula1>
          <xm:sqref>G42</xm:sqref>
        </x14:dataValidation>
        <x14:dataValidation type="list" allowBlank="1" showInputMessage="1" showErrorMessage="1">
          <x14:formula1>
            <xm:f>'Dropdown lists'!$I$46:$I$49</xm:f>
          </x14:formula1>
          <xm:sqref>G51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pageSetUpPr fitToPage="1"/>
  </sheetPr>
  <dimension ref="B1:AA129"/>
  <sheetViews>
    <sheetView tabSelected="1" zoomScale="70" zoomScaleNormal="70" zoomScalePageLayoutView="40" workbookViewId="0">
      <selection activeCell="E8" sqref="E8:I8"/>
    </sheetView>
  </sheetViews>
  <sheetFormatPr defaultColWidth="9.109375" defaultRowHeight="14.4" x14ac:dyDescent="0.3"/>
  <cols>
    <col min="1" max="1" width="4.6640625" style="266" customWidth="1"/>
    <col min="2" max="2" width="25.33203125" style="266" customWidth="1"/>
    <col min="3" max="3" width="15.44140625" style="266" customWidth="1"/>
    <col min="4" max="4" width="13.33203125" style="266" customWidth="1"/>
    <col min="5" max="5" width="9" style="266" customWidth="1"/>
    <col min="6" max="6" width="9.44140625" style="266" customWidth="1"/>
    <col min="7" max="8" width="9.5546875" style="266" customWidth="1"/>
    <col min="9" max="9" width="9.6640625" style="266" customWidth="1"/>
    <col min="10" max="10" width="11" style="266" customWidth="1"/>
    <col min="11" max="11" width="9.44140625" style="266" customWidth="1"/>
    <col min="12" max="12" width="10.109375" style="266" customWidth="1"/>
    <col min="13" max="13" width="11.33203125" style="266" customWidth="1"/>
    <col min="14" max="14" width="13.6640625" style="266" customWidth="1"/>
    <col min="15" max="15" width="12" style="266" customWidth="1"/>
    <col min="16" max="22" width="6.6640625" style="266" customWidth="1"/>
    <col min="23" max="16384" width="9.109375" style="266"/>
  </cols>
  <sheetData>
    <row r="1" spans="2:27" s="16" customFormat="1" ht="30" customHeight="1" x14ac:dyDescent="0.3">
      <c r="B1" s="270" t="str">
        <f>CONCATENATE('Cover Page'!B1:L1," ", 'Cover Page'!B2:L2," - CREDIT CALCULATIONS")</f>
        <v>FISH PASSAGE CREDIT CALCULATOR Version 1.1 - CREDIT CALCULATIONS</v>
      </c>
      <c r="C1" s="56"/>
      <c r="D1" s="56"/>
      <c r="E1" s="56"/>
      <c r="F1" s="51"/>
      <c r="G1" s="51"/>
      <c r="H1" s="51"/>
      <c r="P1" s="173"/>
    </row>
    <row r="2" spans="2:27" s="16" customFormat="1" ht="13.5" customHeight="1" x14ac:dyDescent="0.3">
      <c r="B2" s="13"/>
      <c r="C2" s="13"/>
      <c r="D2" s="22"/>
      <c r="E2" s="22"/>
      <c r="K2" s="561"/>
      <c r="L2" s="561"/>
      <c r="R2" s="53"/>
    </row>
    <row r="3" spans="2:27" s="16" customFormat="1" ht="30" customHeight="1" x14ac:dyDescent="0.3">
      <c r="B3" s="590" t="str">
        <f>IF(Project_Site = "","", Project_Site)</f>
        <v>East Fork of South Fork Trask River</v>
      </c>
      <c r="C3" s="590"/>
      <c r="D3" s="590"/>
      <c r="E3" s="590"/>
      <c r="F3" s="590"/>
      <c r="G3" s="590"/>
      <c r="H3" s="590"/>
      <c r="I3" s="83"/>
      <c r="J3" s="572" t="s">
        <v>154</v>
      </c>
      <c r="K3" s="572"/>
      <c r="L3" s="572"/>
      <c r="M3" s="572"/>
      <c r="N3" s="572"/>
      <c r="O3" s="572"/>
      <c r="P3" s="572"/>
      <c r="Q3" s="572"/>
      <c r="R3" s="572"/>
      <c r="S3" s="572"/>
      <c r="T3" s="572"/>
    </row>
    <row r="4" spans="2:27" s="16" customFormat="1" ht="20.25" customHeight="1" x14ac:dyDescent="0.3">
      <c r="B4" s="13"/>
      <c r="C4" s="13"/>
      <c r="D4" s="22"/>
      <c r="E4" s="22"/>
      <c r="K4" s="301"/>
      <c r="L4" s="301"/>
      <c r="Q4" s="171"/>
      <c r="R4" s="53"/>
      <c r="S4" s="171"/>
      <c r="T4" s="171"/>
      <c r="U4" s="171"/>
    </row>
    <row r="5" spans="2:27" ht="20.100000000000001" customHeight="1" x14ac:dyDescent="0.3">
      <c r="B5" s="565" t="s">
        <v>175</v>
      </c>
      <c r="C5" s="566"/>
      <c r="D5" s="566"/>
      <c r="E5" s="566"/>
      <c r="F5" s="566"/>
      <c r="G5" s="566"/>
      <c r="H5" s="566"/>
      <c r="I5" s="566"/>
      <c r="J5" s="566"/>
      <c r="K5" s="567"/>
      <c r="L5" s="567"/>
      <c r="M5" s="566"/>
      <c r="N5" s="566"/>
      <c r="O5" s="566"/>
      <c r="P5" s="566"/>
      <c r="Q5" s="172"/>
      <c r="R5" s="172"/>
      <c r="S5" s="172"/>
      <c r="T5" s="172"/>
      <c r="U5" s="172"/>
    </row>
    <row r="6" spans="2:27" ht="60.75" customHeight="1" x14ac:dyDescent="0.3">
      <c r="B6" s="568" t="s">
        <v>96</v>
      </c>
      <c r="C6" s="568"/>
      <c r="D6" s="271" t="s">
        <v>97</v>
      </c>
      <c r="E6" s="569" t="s">
        <v>98</v>
      </c>
      <c r="F6" s="571"/>
      <c r="G6" s="571"/>
      <c r="H6" s="571"/>
      <c r="I6" s="570"/>
      <c r="J6" s="569" t="s">
        <v>401</v>
      </c>
      <c r="K6" s="570"/>
      <c r="L6" s="563" t="s">
        <v>243</v>
      </c>
      <c r="M6" s="563"/>
      <c r="N6" s="272" t="s">
        <v>176</v>
      </c>
      <c r="O6" s="562" t="s">
        <v>177</v>
      </c>
      <c r="P6" s="562"/>
      <c r="Q6" s="29"/>
      <c r="R6" s="29"/>
      <c r="S6" s="581" t="s">
        <v>402</v>
      </c>
      <c r="T6" s="582"/>
      <c r="U6" s="582"/>
      <c r="V6" s="582"/>
      <c r="W6" s="582"/>
      <c r="X6" s="583"/>
    </row>
    <row r="7" spans="2:27" ht="55.5" customHeight="1" x14ac:dyDescent="0.3">
      <c r="B7" s="537" t="s">
        <v>99</v>
      </c>
      <c r="C7" s="537"/>
      <c r="D7" s="273">
        <v>2</v>
      </c>
      <c r="E7" s="534" t="s">
        <v>266</v>
      </c>
      <c r="F7" s="536"/>
      <c r="G7" s="536"/>
      <c r="H7" s="536"/>
      <c r="I7" s="535"/>
      <c r="J7" s="534" t="str">
        <f>IF('Instream-HabRate'!T18 &gt; 80,"Yes","No")</f>
        <v>No</v>
      </c>
      <c r="K7" s="535"/>
      <c r="L7" s="564" t="s">
        <v>238</v>
      </c>
      <c r="M7" s="564"/>
      <c r="N7" s="274"/>
      <c r="O7" s="532" t="s">
        <v>100</v>
      </c>
      <c r="P7" s="532"/>
      <c r="S7" s="584"/>
      <c r="T7" s="585"/>
      <c r="U7" s="585"/>
      <c r="V7" s="585"/>
      <c r="W7" s="585"/>
      <c r="X7" s="586"/>
    </row>
    <row r="8" spans="2:27" ht="59.25" customHeight="1" x14ac:dyDescent="0.3">
      <c r="B8" s="537" t="s">
        <v>102</v>
      </c>
      <c r="C8" s="537"/>
      <c r="D8" s="273">
        <v>2</v>
      </c>
      <c r="E8" s="534" t="s">
        <v>267</v>
      </c>
      <c r="F8" s="536"/>
      <c r="G8" s="536"/>
      <c r="H8" s="536"/>
      <c r="I8" s="535"/>
      <c r="J8" s="534" t="str">
        <f>IF(FuncRip_Score="","No",IF(OR(Entrench_Score&lt;&gt;"",Floodpln_Score&lt;&gt;""),"Yes","No"))</f>
        <v>Yes</v>
      </c>
      <c r="K8" s="535"/>
      <c r="L8" s="533">
        <f>IF(J8="No","", IF(AND(FuncRip_Score="",Floodpln_Score="",Entrench_Score=""),"",AVERAGE(FuncRip_Score,Floodpln_Score,Entrench_Score)))</f>
        <v>0.76666666666666661</v>
      </c>
      <c r="M8" s="533"/>
      <c r="N8" s="275">
        <f>IF(Nearstream_Score="","",IF(Nearstream_Score&lt;0.3,1,IF(Nearstream_Score&lt;0.7,2,3)))</f>
        <v>3</v>
      </c>
      <c r="O8" s="532" t="s">
        <v>114</v>
      </c>
      <c r="P8" s="532"/>
      <c r="Q8" s="32"/>
      <c r="S8" s="584"/>
      <c r="T8" s="585"/>
      <c r="U8" s="585"/>
      <c r="V8" s="585"/>
      <c r="W8" s="585"/>
      <c r="X8" s="586"/>
    </row>
    <row r="9" spans="2:27" ht="108.75" customHeight="1" x14ac:dyDescent="0.3">
      <c r="B9" s="537" t="s">
        <v>101</v>
      </c>
      <c r="C9" s="537"/>
      <c r="D9" s="273">
        <v>1</v>
      </c>
      <c r="E9" s="534" t="s">
        <v>268</v>
      </c>
      <c r="F9" s="536"/>
      <c r="G9" s="536"/>
      <c r="H9" s="536"/>
      <c r="I9" s="535"/>
      <c r="J9" s="534" t="str">
        <f>IF(OR(ProtectRiparian_Score&lt;&gt;"",ProtectContArea_Score&lt;&gt;""),IF(StrmXDen_Score&lt;&gt;"","Yes","No"), "No")</f>
        <v>Yes</v>
      </c>
      <c r="K9" s="535"/>
      <c r="L9" s="533">
        <f>IF(J9="No","",IF(AND(RoadDensity_Score="",PctAgriculture_Score="",DEQ303d_Score=""),"",AVERAGE(MAX(ProtectContArea_Score,ProtectRiparian_Score),StrmXDen_Score,NNSpec_Score,AVERAGE(RoadDensity_Score,PctAgriculture_Score,DEQ303d_Score))))</f>
        <v>0.57916666666666672</v>
      </c>
      <c r="M9" s="533"/>
      <c r="N9" s="275">
        <f>IF(Landscape_Score="","",IF(Landscape_Score&lt;0.3,1,IF(Landscape_Score&lt;0.7,2,3)))</f>
        <v>2</v>
      </c>
      <c r="O9" s="532" t="s">
        <v>113</v>
      </c>
      <c r="P9" s="532"/>
      <c r="Q9" s="50"/>
      <c r="R9" s="32"/>
      <c r="S9" s="587"/>
      <c r="T9" s="588"/>
      <c r="U9" s="588"/>
      <c r="V9" s="588"/>
      <c r="W9" s="588"/>
      <c r="X9" s="589"/>
    </row>
    <row r="10" spans="2:27" s="32" customFormat="1" ht="18.75" customHeight="1" x14ac:dyDescent="0.3">
      <c r="B10" s="54"/>
      <c r="C10" s="54"/>
      <c r="D10" s="55"/>
      <c r="E10" s="48"/>
      <c r="F10" s="48"/>
      <c r="G10" s="48"/>
      <c r="H10" s="48"/>
      <c r="I10" s="48"/>
      <c r="J10" s="48"/>
      <c r="K10" s="48"/>
      <c r="L10" s="48"/>
      <c r="M10" s="48"/>
      <c r="N10" s="48"/>
      <c r="O10" s="48"/>
      <c r="P10" s="48"/>
      <c r="Q10" s="48"/>
      <c r="R10" s="50"/>
      <c r="S10" s="50"/>
      <c r="T10" s="50"/>
      <c r="U10" s="50"/>
      <c r="V10" s="50"/>
      <c r="W10" s="50"/>
      <c r="X10" s="50"/>
    </row>
    <row r="11" spans="2:27" ht="20.100000000000001" customHeight="1" x14ac:dyDescent="0.3">
      <c r="B11" s="538" t="s">
        <v>244</v>
      </c>
      <c r="C11" s="538"/>
      <c r="D11" s="538"/>
      <c r="E11" s="538"/>
      <c r="F11" s="538"/>
      <c r="G11" s="538"/>
      <c r="H11" s="538"/>
      <c r="I11" s="538"/>
      <c r="J11" s="538"/>
      <c r="K11" s="538"/>
      <c r="L11" s="538"/>
      <c r="M11" s="538"/>
      <c r="N11" s="538"/>
      <c r="O11" s="538"/>
      <c r="P11" s="538"/>
      <c r="Q11" s="538"/>
      <c r="R11" s="538"/>
      <c r="S11" s="538"/>
      <c r="T11" s="538"/>
      <c r="U11" s="538"/>
      <c r="V11" s="538"/>
      <c r="W11" s="32"/>
      <c r="X11" s="32"/>
      <c r="Y11" s="32"/>
    </row>
    <row r="12" spans="2:27" ht="21" customHeight="1" x14ac:dyDescent="0.3">
      <c r="B12" s="580" t="s">
        <v>103</v>
      </c>
      <c r="C12" s="579" t="s">
        <v>256</v>
      </c>
      <c r="D12" s="539" t="s">
        <v>220</v>
      </c>
      <c r="E12" s="540"/>
      <c r="F12" s="540"/>
      <c r="G12" s="541"/>
      <c r="H12" s="542" t="s">
        <v>13</v>
      </c>
      <c r="I12" s="543"/>
      <c r="J12" s="544"/>
      <c r="K12" s="545" t="s">
        <v>11</v>
      </c>
      <c r="L12" s="546"/>
      <c r="M12" s="546"/>
      <c r="N12" s="546"/>
      <c r="O12" s="547"/>
      <c r="P12" s="548" t="s">
        <v>12</v>
      </c>
      <c r="Q12" s="549"/>
      <c r="R12" s="550"/>
      <c r="S12" s="545" t="s">
        <v>423</v>
      </c>
      <c r="T12" s="546"/>
      <c r="U12" s="546"/>
      <c r="V12" s="547"/>
      <c r="Y12" s="32"/>
      <c r="Z12" s="32"/>
      <c r="AA12" s="32"/>
    </row>
    <row r="13" spans="2:27" ht="72" customHeight="1" x14ac:dyDescent="0.3">
      <c r="B13" s="402"/>
      <c r="C13" s="579"/>
      <c r="D13" s="284" t="s">
        <v>13</v>
      </c>
      <c r="E13" s="284" t="s">
        <v>11</v>
      </c>
      <c r="F13" s="284" t="s">
        <v>12</v>
      </c>
      <c r="G13" s="284" t="s">
        <v>423</v>
      </c>
      <c r="H13" s="313" t="s">
        <v>104</v>
      </c>
      <c r="I13" s="313" t="s">
        <v>105</v>
      </c>
      <c r="J13" s="313" t="s">
        <v>106</v>
      </c>
      <c r="K13" s="284" t="s">
        <v>107</v>
      </c>
      <c r="L13" s="284" t="s">
        <v>108</v>
      </c>
      <c r="M13" s="284" t="s">
        <v>158</v>
      </c>
      <c r="N13" s="284" t="s">
        <v>155</v>
      </c>
      <c r="O13" s="284" t="s">
        <v>156</v>
      </c>
      <c r="P13" s="313" t="s">
        <v>110</v>
      </c>
      <c r="Q13" s="313" t="s">
        <v>111</v>
      </c>
      <c r="R13" s="313" t="s">
        <v>112</v>
      </c>
      <c r="S13" s="284" t="s">
        <v>424</v>
      </c>
      <c r="T13" s="284" t="s">
        <v>425</v>
      </c>
      <c r="U13" s="284" t="s">
        <v>428</v>
      </c>
      <c r="V13" s="284" t="s">
        <v>427</v>
      </c>
    </row>
    <row r="14" spans="2:27" ht="15.6" x14ac:dyDescent="0.3">
      <c r="B14" s="309">
        <f>IF('Instream-HabRate'!C27&lt;&gt;"", 'Instream-HabRate'!C27,"")</f>
        <v>123577945380201</v>
      </c>
      <c r="C14" s="350">
        <f>'Instream-HabRate'!L27</f>
        <v>3502</v>
      </c>
      <c r="D14" s="278" t="str">
        <f>IF('Instream-HabRate'!E27="","",'Instream-HabRate'!E27)</f>
        <v/>
      </c>
      <c r="E14" s="278" t="str">
        <f>IF('Instream-HabRate'!F27="","",'Instream-HabRate'!F27)</f>
        <v>x</v>
      </c>
      <c r="F14" s="278" t="str">
        <f>IF('Instream-HabRate'!G27="","",'Instream-HabRate'!G27)</f>
        <v>x</v>
      </c>
      <c r="G14" s="278" t="str">
        <f>IF('Instream-HabRate'!H27="","",'Instream-HabRate'!H27)</f>
        <v>x</v>
      </c>
      <c r="H14" s="277" t="str">
        <f>IF('Instream-HabRate'!M27="","",IF($D14="","",'Instream-HabRate'!M27))</f>
        <v/>
      </c>
      <c r="I14" s="277" t="str">
        <f>IF('Instream-HabRate'!N27="","",IF($D14="","",'Instream-HabRate'!N27))</f>
        <v/>
      </c>
      <c r="J14" s="277" t="str">
        <f>IF('Instream-HabRate'!O27="","",IF($D14="","",'Instream-HabRate'!O27))</f>
        <v/>
      </c>
      <c r="K14" s="276">
        <f>IF('Instream-HabRate'!P27="","",IF($E14="","",'Instream-HabRate'!P27))</f>
        <v>2</v>
      </c>
      <c r="L14" s="276">
        <f>IF('Instream-HabRate'!Q27="","",IF($E14="","",'Instream-HabRate'!Q27))</f>
        <v>2</v>
      </c>
      <c r="M14" s="276">
        <f>IF('Instream-HabRate'!R27="","",IF($E14="","",'Instream-HabRate'!R27))</f>
        <v>2</v>
      </c>
      <c r="N14" s="276">
        <f>IF('Instream-HabRate'!S27="","",IF($E14="","",'Instream-HabRate'!S27))</f>
        <v>2</v>
      </c>
      <c r="O14" s="276">
        <f>IF('Instream-HabRate'!T27="","",IF($E14="","",'Instream-HabRate'!T27))</f>
        <v>3</v>
      </c>
      <c r="P14" s="277">
        <f>IF('Instream-HabRate'!U27="","",IF($F14="","",'Instream-HabRate'!U27))</f>
        <v>2</v>
      </c>
      <c r="Q14" s="277">
        <f>IF('Instream-HabRate'!V27="","",IF($F14="","",'Instream-HabRate'!V27))</f>
        <v>1</v>
      </c>
      <c r="R14" s="277">
        <f>IF('Instream-HabRate'!W27="","",IF($F14="","",'Instream-HabRate'!W27))</f>
        <v>1</v>
      </c>
      <c r="S14" s="276">
        <f>IF('Instream-HabRate'!X27="","",IF($G14="","",'Instream-HabRate'!X27))</f>
        <v>2</v>
      </c>
      <c r="T14" s="276">
        <f>IF('Instream-HabRate'!Y27="","",IF($G14="","",'Instream-HabRate'!Y27))</f>
        <v>2</v>
      </c>
      <c r="U14" s="276">
        <f>IF('Instream-HabRate'!Z27="","",IF($G14="","",'Instream-HabRate'!Z27))</f>
        <v>2</v>
      </c>
      <c r="V14" s="276">
        <f>IF('Instream-HabRate'!AA27="","",IF($G14="","",'Instream-HabRate'!AA27))</f>
        <v>2</v>
      </c>
    </row>
    <row r="15" spans="2:27" ht="15.6" x14ac:dyDescent="0.3">
      <c r="B15" s="309">
        <f>IF('Instream-HabRate'!C28&lt;&gt;"", 'Instream-HabRate'!C28,"")</f>
        <v>123577945380202</v>
      </c>
      <c r="C15" s="350">
        <f>'Instream-HabRate'!L28</f>
        <v>1907</v>
      </c>
      <c r="D15" s="278" t="str">
        <f>IF('Instream-HabRate'!E28="","",'Instream-HabRate'!E28)</f>
        <v/>
      </c>
      <c r="E15" s="278" t="str">
        <f>IF('Instream-HabRate'!F28="","",'Instream-HabRate'!F28)</f>
        <v>x</v>
      </c>
      <c r="F15" s="278" t="str">
        <f>IF('Instream-HabRate'!G28="","",'Instream-HabRate'!G28)</f>
        <v>x</v>
      </c>
      <c r="G15" s="278" t="str">
        <f>IF('Instream-HabRate'!H28="","",'Instream-HabRate'!H28)</f>
        <v>x</v>
      </c>
      <c r="H15" s="277" t="str">
        <f>IF('Instream-HabRate'!M28="","",IF($D15="","",'Instream-HabRate'!M28))</f>
        <v/>
      </c>
      <c r="I15" s="277" t="str">
        <f>IF('Instream-HabRate'!N28="","",IF($D15="","",'Instream-HabRate'!N28))</f>
        <v/>
      </c>
      <c r="J15" s="277" t="str">
        <f>IF('Instream-HabRate'!O28="","",IF($D15="","",'Instream-HabRate'!O28))</f>
        <v/>
      </c>
      <c r="K15" s="276">
        <f>IF('Instream-HabRate'!P28="","",IF($E15="","",'Instream-HabRate'!P28))</f>
        <v>3</v>
      </c>
      <c r="L15" s="276">
        <f>IF('Instream-HabRate'!Q28="","",IF($E15="","",'Instream-HabRate'!Q28))</f>
        <v>2</v>
      </c>
      <c r="M15" s="276">
        <f>IF('Instream-HabRate'!R28="","",IF($E15="","",'Instream-HabRate'!R28))</f>
        <v>2</v>
      </c>
      <c r="N15" s="276">
        <f>IF('Instream-HabRate'!S28="","",IF($E15="","",'Instream-HabRate'!S28))</f>
        <v>2</v>
      </c>
      <c r="O15" s="276">
        <f>IF('Instream-HabRate'!T28="","",IF($E15="","",'Instream-HabRate'!T28))</f>
        <v>3</v>
      </c>
      <c r="P15" s="277">
        <f>IF('Instream-HabRate'!U28="","",IF($F15="","",'Instream-HabRate'!U28))</f>
        <v>2</v>
      </c>
      <c r="Q15" s="277">
        <f>IF('Instream-HabRate'!V28="","",IF($F15="","",'Instream-HabRate'!V28))</f>
        <v>1</v>
      </c>
      <c r="R15" s="277">
        <f>IF('Instream-HabRate'!W28="","",IF($F15="","",'Instream-HabRate'!W28))</f>
        <v>1</v>
      </c>
      <c r="S15" s="276">
        <f>IF('Instream-HabRate'!X28="","",IF($G15="","",'Instream-HabRate'!X28))</f>
        <v>2</v>
      </c>
      <c r="T15" s="276">
        <f>IF('Instream-HabRate'!Y28="","",IF($G15="","",'Instream-HabRate'!Y28))</f>
        <v>2</v>
      </c>
      <c r="U15" s="276">
        <f>IF('Instream-HabRate'!Z28="","",IF($G15="","",'Instream-HabRate'!Z28))</f>
        <v>2</v>
      </c>
      <c r="V15" s="276">
        <f>IF('Instream-HabRate'!AA28="","",IF($G15="","",'Instream-HabRate'!AA28))</f>
        <v>2</v>
      </c>
    </row>
    <row r="16" spans="2:27" ht="15.6" x14ac:dyDescent="0.3">
      <c r="B16" s="309">
        <f>IF('Instream-HabRate'!C29&lt;&gt;"", 'Instream-HabRate'!C29,"")</f>
        <v>123577945380203</v>
      </c>
      <c r="C16" s="350">
        <f>'Instream-HabRate'!L29</f>
        <v>3971</v>
      </c>
      <c r="D16" s="278" t="str">
        <f>IF('Instream-HabRate'!E29="","",'Instream-HabRate'!E29)</f>
        <v/>
      </c>
      <c r="E16" s="278" t="str">
        <f>IF('Instream-HabRate'!F29="","",'Instream-HabRate'!F29)</f>
        <v>x</v>
      </c>
      <c r="F16" s="278" t="str">
        <f>IF('Instream-HabRate'!G29="","",'Instream-HabRate'!G29)</f>
        <v/>
      </c>
      <c r="G16" s="278" t="str">
        <f>IF('Instream-HabRate'!H29="","",'Instream-HabRate'!H29)</f>
        <v>x</v>
      </c>
      <c r="H16" s="277" t="str">
        <f>IF('Instream-HabRate'!M29="","",IF($D16="","",'Instream-HabRate'!M29))</f>
        <v/>
      </c>
      <c r="I16" s="277" t="str">
        <f>IF('Instream-HabRate'!N29="","",IF($D16="","",'Instream-HabRate'!N29))</f>
        <v/>
      </c>
      <c r="J16" s="277" t="str">
        <f>IF('Instream-HabRate'!O29="","",IF($D16="","",'Instream-HabRate'!O29))</f>
        <v/>
      </c>
      <c r="K16" s="276">
        <f>IF('Instream-HabRate'!P29="","",IF($E16="","",'Instream-HabRate'!P29))</f>
        <v>3</v>
      </c>
      <c r="L16" s="276">
        <f>IF('Instream-HabRate'!Q29="","",IF($E16="","",'Instream-HabRate'!Q29))</f>
        <v>2</v>
      </c>
      <c r="M16" s="276">
        <f>IF('Instream-HabRate'!R29="","",IF($E16="","",'Instream-HabRate'!R29))</f>
        <v>2</v>
      </c>
      <c r="N16" s="276">
        <f>IF('Instream-HabRate'!S29="","",IF($E16="","",'Instream-HabRate'!S29))</f>
        <v>2</v>
      </c>
      <c r="O16" s="276">
        <f>IF('Instream-HabRate'!T29="","",IF($E16="","",'Instream-HabRate'!T29))</f>
        <v>3</v>
      </c>
      <c r="P16" s="277" t="str">
        <f>IF('Instream-HabRate'!U29="","",IF($F16="","",'Instream-HabRate'!U29))</f>
        <v/>
      </c>
      <c r="Q16" s="277" t="str">
        <f>IF('Instream-HabRate'!V29="","",IF($F16="","",'Instream-HabRate'!V29))</f>
        <v/>
      </c>
      <c r="R16" s="277" t="str">
        <f>IF('Instream-HabRate'!W29="","",IF($F16="","",'Instream-HabRate'!W29))</f>
        <v/>
      </c>
      <c r="S16" s="276">
        <f>IF('Instream-HabRate'!X29="","",IF($G16="","",'Instream-HabRate'!X29))</f>
        <v>2</v>
      </c>
      <c r="T16" s="276">
        <f>IF('Instream-HabRate'!Y29="","",IF($G16="","",'Instream-HabRate'!Y29))</f>
        <v>2</v>
      </c>
      <c r="U16" s="276">
        <f>IF('Instream-HabRate'!Z29="","",IF($G16="","",'Instream-HabRate'!Z29))</f>
        <v>2</v>
      </c>
      <c r="V16" s="276">
        <f>IF('Instream-HabRate'!AA29="","",IF($G16="","",'Instream-HabRate'!AA29))</f>
        <v>2</v>
      </c>
    </row>
    <row r="17" spans="2:22" ht="15.6" x14ac:dyDescent="0.3">
      <c r="B17" s="309">
        <f>IF('Instream-HabRate'!C30&lt;&gt;"", 'Instream-HabRate'!C30,"")</f>
        <v>123580645381001</v>
      </c>
      <c r="C17" s="350">
        <f>'Instream-HabRate'!L30</f>
        <v>6862</v>
      </c>
      <c r="D17" s="278" t="str">
        <f>IF('Instream-HabRate'!E30="","",'Instream-HabRate'!E30)</f>
        <v/>
      </c>
      <c r="E17" s="278" t="str">
        <f>IF('Instream-HabRate'!F30="","",'Instream-HabRate'!F30)</f>
        <v>x</v>
      </c>
      <c r="F17" s="278" t="str">
        <f>IF('Instream-HabRate'!G30="","",'Instream-HabRate'!G30)</f>
        <v>x</v>
      </c>
      <c r="G17" s="278" t="str">
        <f>IF('Instream-HabRate'!H30="","",'Instream-HabRate'!H30)</f>
        <v>x</v>
      </c>
      <c r="H17" s="277" t="str">
        <f>IF('Instream-HabRate'!M30="","",IF($D17="","",'Instream-HabRate'!M30))</f>
        <v/>
      </c>
      <c r="I17" s="277" t="str">
        <f>IF('Instream-HabRate'!N30="","",IF($D17="","",'Instream-HabRate'!N30))</f>
        <v/>
      </c>
      <c r="J17" s="277" t="str">
        <f>IF('Instream-HabRate'!O30="","",IF($D17="","",'Instream-HabRate'!O30))</f>
        <v/>
      </c>
      <c r="K17" s="276">
        <f>IF('Instream-HabRate'!P30="","",IF($E17="","",'Instream-HabRate'!P30))</f>
        <v>2</v>
      </c>
      <c r="L17" s="276">
        <f>IF('Instream-HabRate'!Q30="","",IF($E17="","",'Instream-HabRate'!Q30))</f>
        <v>2</v>
      </c>
      <c r="M17" s="276">
        <f>IF('Instream-HabRate'!R30="","",IF($E17="","",'Instream-HabRate'!R30))</f>
        <v>2</v>
      </c>
      <c r="N17" s="276">
        <f>IF('Instream-HabRate'!S30="","",IF($E17="","",'Instream-HabRate'!S30))</f>
        <v>2</v>
      </c>
      <c r="O17" s="276">
        <f>IF('Instream-HabRate'!T30="","",IF($E17="","",'Instream-HabRate'!T30))</f>
        <v>3</v>
      </c>
      <c r="P17" s="277">
        <f>IF('Instream-HabRate'!U30="","",IF($F17="","",'Instream-HabRate'!U30))</f>
        <v>2</v>
      </c>
      <c r="Q17" s="277">
        <f>IF('Instream-HabRate'!V30="","",IF($F17="","",'Instream-HabRate'!V30))</f>
        <v>1</v>
      </c>
      <c r="R17" s="277">
        <f>IF('Instream-HabRate'!W30="","",IF($F17="","",'Instream-HabRate'!W30))</f>
        <v>1</v>
      </c>
      <c r="S17" s="276">
        <f>IF('Instream-HabRate'!X30="","",IF($G17="","",'Instream-HabRate'!X30))</f>
        <v>2</v>
      </c>
      <c r="T17" s="276">
        <f>IF('Instream-HabRate'!Y30="","",IF($G17="","",'Instream-HabRate'!Y30))</f>
        <v>2</v>
      </c>
      <c r="U17" s="276">
        <f>IF('Instream-HabRate'!Z30="","",IF($G17="","",'Instream-HabRate'!Z30))</f>
        <v>2</v>
      </c>
      <c r="V17" s="276">
        <f>IF('Instream-HabRate'!AA30="","",IF($G17="","",'Instream-HabRate'!AA30))</f>
        <v>2</v>
      </c>
    </row>
    <row r="18" spans="2:22" ht="15.6" x14ac:dyDescent="0.3">
      <c r="B18" s="309">
        <f>IF('Instream-HabRate'!C31&lt;&gt;"", 'Instream-HabRate'!C31,"")</f>
        <v>123538845350501</v>
      </c>
      <c r="C18" s="350">
        <f>'Instream-HabRate'!L31</f>
        <v>2992</v>
      </c>
      <c r="D18" s="278" t="str">
        <f>IF('Instream-HabRate'!E31="","",'Instream-HabRate'!E31)</f>
        <v/>
      </c>
      <c r="E18" s="278" t="str">
        <f>IF('Instream-HabRate'!F31="","",'Instream-HabRate'!F31)</f>
        <v>x</v>
      </c>
      <c r="F18" s="278" t="str">
        <f>IF('Instream-HabRate'!G31="","",'Instream-HabRate'!G31)</f>
        <v>x</v>
      </c>
      <c r="G18" s="278" t="str">
        <f>IF('Instream-HabRate'!H31="","",'Instream-HabRate'!H31)</f>
        <v>x</v>
      </c>
      <c r="H18" s="277" t="str">
        <f>IF('Instream-HabRate'!M31="","",IF($D18="","",'Instream-HabRate'!M31))</f>
        <v/>
      </c>
      <c r="I18" s="277" t="str">
        <f>IF('Instream-HabRate'!N31="","",IF($D18="","",'Instream-HabRate'!N31))</f>
        <v/>
      </c>
      <c r="J18" s="277" t="str">
        <f>IF('Instream-HabRate'!O31="","",IF($D18="","",'Instream-HabRate'!O31))</f>
        <v/>
      </c>
      <c r="K18" s="276">
        <f>IF('Instream-HabRate'!P31="","",IF($E18="","",'Instream-HabRate'!P31))</f>
        <v>1</v>
      </c>
      <c r="L18" s="276">
        <f>IF('Instream-HabRate'!Q31="","",IF($E18="","",'Instream-HabRate'!Q31))</f>
        <v>2</v>
      </c>
      <c r="M18" s="276">
        <f>IF('Instream-HabRate'!R31="","",IF($E18="","",'Instream-HabRate'!R31))</f>
        <v>2</v>
      </c>
      <c r="N18" s="276">
        <f>IF('Instream-HabRate'!S31="","",IF($E18="","",'Instream-HabRate'!S31))</f>
        <v>2</v>
      </c>
      <c r="O18" s="276">
        <f>IF('Instream-HabRate'!T31="","",IF($E18="","",'Instream-HabRate'!T31))</f>
        <v>3</v>
      </c>
      <c r="P18" s="277">
        <f>IF('Instream-HabRate'!U31="","",IF($F18="","",'Instream-HabRate'!U31))</f>
        <v>2</v>
      </c>
      <c r="Q18" s="277">
        <f>IF('Instream-HabRate'!V31="","",IF($F18="","",'Instream-HabRate'!V31))</f>
        <v>1</v>
      </c>
      <c r="R18" s="277">
        <f>IF('Instream-HabRate'!W31="","",IF($F18="","",'Instream-HabRate'!W31))</f>
        <v>1</v>
      </c>
      <c r="S18" s="276">
        <f>IF('Instream-HabRate'!X31="","",IF($G18="","",'Instream-HabRate'!X31))</f>
        <v>3</v>
      </c>
      <c r="T18" s="276">
        <f>IF('Instream-HabRate'!Y31="","",IF($G18="","",'Instream-HabRate'!Y31))</f>
        <v>3</v>
      </c>
      <c r="U18" s="276">
        <f>IF('Instream-HabRate'!Z31="","",IF($G18="","",'Instream-HabRate'!Z31))</f>
        <v>3</v>
      </c>
      <c r="V18" s="276">
        <f>IF('Instream-HabRate'!AA31="","",IF($G18="","",'Instream-HabRate'!AA31))</f>
        <v>3</v>
      </c>
    </row>
    <row r="19" spans="2:22" ht="15.6" x14ac:dyDescent="0.3">
      <c r="B19" s="309">
        <f>IF('Instream-HabRate'!C32&lt;&gt;"", 'Instream-HabRate'!C32,"")</f>
        <v>123605145416502</v>
      </c>
      <c r="C19" s="350">
        <f>'Instream-HabRate'!L32</f>
        <v>32397</v>
      </c>
      <c r="D19" s="278" t="str">
        <f>IF('Instream-HabRate'!E32="","",'Instream-HabRate'!E32)</f>
        <v>x</v>
      </c>
      <c r="E19" s="278" t="str">
        <f>IF('Instream-HabRate'!F32="","",'Instream-HabRate'!F32)</f>
        <v>x</v>
      </c>
      <c r="F19" s="278" t="str">
        <f>IF('Instream-HabRate'!G32="","",'Instream-HabRate'!G32)</f>
        <v>x</v>
      </c>
      <c r="G19" s="278" t="str">
        <f>IF('Instream-HabRate'!H32="","",'Instream-HabRate'!H32)</f>
        <v>x</v>
      </c>
      <c r="H19" s="277">
        <f>IF('Instream-HabRate'!M32="","",IF($D19="","",'Instream-HabRate'!M32))</f>
        <v>3</v>
      </c>
      <c r="I19" s="277">
        <f>IF('Instream-HabRate'!N32="","",IF($D19="","",'Instream-HabRate'!N32))</f>
        <v>2</v>
      </c>
      <c r="J19" s="277">
        <f>IF('Instream-HabRate'!O32="","",IF($D19="","",'Instream-HabRate'!O32))</f>
        <v>2</v>
      </c>
      <c r="K19" s="276">
        <f>IF('Instream-HabRate'!P32="","",IF($E19="","",'Instream-HabRate'!P32))</f>
        <v>2</v>
      </c>
      <c r="L19" s="276">
        <f>IF('Instream-HabRate'!Q32="","",IF($E19="","",'Instream-HabRate'!Q32))</f>
        <v>2</v>
      </c>
      <c r="M19" s="276">
        <f>IF('Instream-HabRate'!R32="","",IF($E19="","",'Instream-HabRate'!R32))</f>
        <v>3</v>
      </c>
      <c r="N19" s="276">
        <f>IF('Instream-HabRate'!S32="","",IF($E19="","",'Instream-HabRate'!S32))</f>
        <v>2</v>
      </c>
      <c r="O19" s="276">
        <f>IF('Instream-HabRate'!T32="","",IF($E19="","",'Instream-HabRate'!T32))</f>
        <v>3</v>
      </c>
      <c r="P19" s="277">
        <f>IF('Instream-HabRate'!U32="","",IF($F19="","",'Instream-HabRate'!U32))</f>
        <v>3</v>
      </c>
      <c r="Q19" s="277">
        <f>IF('Instream-HabRate'!V32="","",IF($F19="","",'Instream-HabRate'!V32))</f>
        <v>2</v>
      </c>
      <c r="R19" s="277">
        <f>IF('Instream-HabRate'!W32="","",IF($F19="","",'Instream-HabRate'!W32))</f>
        <v>2</v>
      </c>
      <c r="S19" s="276">
        <f>IF('Instream-HabRate'!X32="","",IF($G19="","",'Instream-HabRate'!X32))</f>
        <v>2</v>
      </c>
      <c r="T19" s="276">
        <f>IF('Instream-HabRate'!Y32="","",IF($G19="","",'Instream-HabRate'!Y32))</f>
        <v>2</v>
      </c>
      <c r="U19" s="276">
        <f>IF('Instream-HabRate'!Z32="","",IF($G19="","",'Instream-HabRate'!Z32))</f>
        <v>2</v>
      </c>
      <c r="V19" s="276">
        <f>IF('Instream-HabRate'!AA32="","",IF($G19="","",'Instream-HabRate'!AA32))</f>
        <v>2</v>
      </c>
    </row>
    <row r="20" spans="2:22" ht="15.6" x14ac:dyDescent="0.3">
      <c r="B20" s="309">
        <f>IF('Instream-HabRate'!C33&lt;&gt;"", 'Instream-HabRate'!C33,"")</f>
        <v>123605145416503</v>
      </c>
      <c r="C20" s="350">
        <f>'Instream-HabRate'!L33</f>
        <v>12404</v>
      </c>
      <c r="D20" s="278" t="str">
        <f>IF('Instream-HabRate'!E33="","",'Instream-HabRate'!E33)</f>
        <v>x</v>
      </c>
      <c r="E20" s="278" t="str">
        <f>IF('Instream-HabRate'!F33="","",'Instream-HabRate'!F33)</f>
        <v>x</v>
      </c>
      <c r="F20" s="278" t="str">
        <f>IF('Instream-HabRate'!G33="","",'Instream-HabRate'!G33)</f>
        <v>x</v>
      </c>
      <c r="G20" s="278" t="str">
        <f>IF('Instream-HabRate'!H33="","",'Instream-HabRate'!H33)</f>
        <v>x</v>
      </c>
      <c r="H20" s="277">
        <f>IF('Instream-HabRate'!M33="","",IF($D20="","",'Instream-HabRate'!M33))</f>
        <v>3</v>
      </c>
      <c r="I20" s="277">
        <f>IF('Instream-HabRate'!N33="","",IF($D20="","",'Instream-HabRate'!N33))</f>
        <v>2</v>
      </c>
      <c r="J20" s="277">
        <f>IF('Instream-HabRate'!O33="","",IF($D20="","",'Instream-HabRate'!O33))</f>
        <v>3</v>
      </c>
      <c r="K20" s="276">
        <f>IF('Instream-HabRate'!P33="","",IF($E20="","",'Instream-HabRate'!P33))</f>
        <v>2</v>
      </c>
      <c r="L20" s="276">
        <f>IF('Instream-HabRate'!Q33="","",IF($E20="","",'Instream-HabRate'!Q33))</f>
        <v>3</v>
      </c>
      <c r="M20" s="276">
        <f>IF('Instream-HabRate'!R33="","",IF($E20="","",'Instream-HabRate'!R33))</f>
        <v>3</v>
      </c>
      <c r="N20" s="276">
        <f>IF('Instream-HabRate'!S33="","",IF($E20="","",'Instream-HabRate'!S33))</f>
        <v>3</v>
      </c>
      <c r="O20" s="276">
        <f>IF('Instream-HabRate'!T33="","",IF($E20="","",'Instream-HabRate'!T33))</f>
        <v>3</v>
      </c>
      <c r="P20" s="277">
        <f>IF('Instream-HabRate'!U33="","",IF($F20="","",'Instream-HabRate'!U33))</f>
        <v>3</v>
      </c>
      <c r="Q20" s="277">
        <f>IF('Instream-HabRate'!V33="","",IF($F20="","",'Instream-HabRate'!V33))</f>
        <v>2</v>
      </c>
      <c r="R20" s="277">
        <f>IF('Instream-HabRate'!W33="","",IF($F20="","",'Instream-HabRate'!W33))</f>
        <v>1</v>
      </c>
      <c r="S20" s="276">
        <f>IF('Instream-HabRate'!X33="","",IF($G20="","",'Instream-HabRate'!X33))</f>
        <v>2</v>
      </c>
      <c r="T20" s="276">
        <f>IF('Instream-HabRate'!Y33="","",IF($G20="","",'Instream-HabRate'!Y33))</f>
        <v>2</v>
      </c>
      <c r="U20" s="276">
        <f>IF('Instream-HabRate'!Z33="","",IF($G20="","",'Instream-HabRate'!Z33))</f>
        <v>2</v>
      </c>
      <c r="V20" s="276">
        <f>IF('Instream-HabRate'!AA33="","",IF($G20="","",'Instream-HabRate'!AA33))</f>
        <v>2</v>
      </c>
    </row>
    <row r="21" spans="2:22" ht="15.6" x14ac:dyDescent="0.3">
      <c r="B21" s="309">
        <f>IF('Instream-HabRate'!C34&lt;&gt;"", 'Instream-HabRate'!C34,"")</f>
        <v>123605145416504</v>
      </c>
      <c r="C21" s="350">
        <f>'Instream-HabRate'!L34</f>
        <v>52314</v>
      </c>
      <c r="D21" s="278" t="str">
        <f>IF('Instream-HabRate'!E34="","",'Instream-HabRate'!E34)</f>
        <v>x</v>
      </c>
      <c r="E21" s="278" t="str">
        <f>IF('Instream-HabRate'!F34="","",'Instream-HabRate'!F34)</f>
        <v>x</v>
      </c>
      <c r="F21" s="278" t="str">
        <f>IF('Instream-HabRate'!G34="","",'Instream-HabRate'!G34)</f>
        <v>x</v>
      </c>
      <c r="G21" s="278" t="str">
        <f>IF('Instream-HabRate'!H34="","",'Instream-HabRate'!H34)</f>
        <v>x</v>
      </c>
      <c r="H21" s="277">
        <f>IF('Instream-HabRate'!M34="","",IF($D21="","",'Instream-HabRate'!M34))</f>
        <v>3</v>
      </c>
      <c r="I21" s="277">
        <f>IF('Instream-HabRate'!N34="","",IF($D21="","",'Instream-HabRate'!N34))</f>
        <v>2</v>
      </c>
      <c r="J21" s="277">
        <f>IF('Instream-HabRate'!O34="","",IF($D21="","",'Instream-HabRate'!O34))</f>
        <v>3</v>
      </c>
      <c r="K21" s="276">
        <f>IF('Instream-HabRate'!P34="","",IF($E21="","",'Instream-HabRate'!P34))</f>
        <v>3</v>
      </c>
      <c r="L21" s="276">
        <f>IF('Instream-HabRate'!Q34="","",IF($E21="","",'Instream-HabRate'!Q34))</f>
        <v>3</v>
      </c>
      <c r="M21" s="276">
        <f>IF('Instream-HabRate'!R34="","",IF($E21="","",'Instream-HabRate'!R34))</f>
        <v>3</v>
      </c>
      <c r="N21" s="276">
        <f>IF('Instream-HabRate'!S34="","",IF($E21="","",'Instream-HabRate'!S34))</f>
        <v>3</v>
      </c>
      <c r="O21" s="276">
        <f>IF('Instream-HabRate'!T34="","",IF($E21="","",'Instream-HabRate'!T34))</f>
        <v>3</v>
      </c>
      <c r="P21" s="277">
        <f>IF('Instream-HabRate'!U34="","",IF($F21="","",'Instream-HabRate'!U34))</f>
        <v>3</v>
      </c>
      <c r="Q21" s="277">
        <f>IF('Instream-HabRate'!V34="","",IF($F21="","",'Instream-HabRate'!V34))</f>
        <v>2</v>
      </c>
      <c r="R21" s="277">
        <f>IF('Instream-HabRate'!W34="","",IF($F21="","",'Instream-HabRate'!W34))</f>
        <v>1</v>
      </c>
      <c r="S21" s="276">
        <f>IF('Instream-HabRate'!X34="","",IF($G21="","",'Instream-HabRate'!X34))</f>
        <v>2</v>
      </c>
      <c r="T21" s="276">
        <f>IF('Instream-HabRate'!Y34="","",IF($G21="","",'Instream-HabRate'!Y34))</f>
        <v>2</v>
      </c>
      <c r="U21" s="276">
        <f>IF('Instream-HabRate'!Z34="","",IF($G21="","",'Instream-HabRate'!Z34))</f>
        <v>2</v>
      </c>
      <c r="V21" s="276">
        <f>IF('Instream-HabRate'!AA34="","",IF($G21="","",'Instream-HabRate'!AA34))</f>
        <v>2</v>
      </c>
    </row>
    <row r="22" spans="2:22" ht="15.6" x14ac:dyDescent="0.3">
      <c r="B22" s="309">
        <f>IF('Instream-HabRate'!C35&lt;&gt;"", 'Instream-HabRate'!C35,"")</f>
        <v>123605145416505</v>
      </c>
      <c r="C22" s="350">
        <f>'Instream-HabRate'!L35</f>
        <v>199559</v>
      </c>
      <c r="D22" s="278" t="str">
        <f>IF('Instream-HabRate'!E35="","",'Instream-HabRate'!E35)</f>
        <v>x</v>
      </c>
      <c r="E22" s="278" t="str">
        <f>IF('Instream-HabRate'!F35="","",'Instream-HabRate'!F35)</f>
        <v>x</v>
      </c>
      <c r="F22" s="278" t="str">
        <f>IF('Instream-HabRate'!G35="","",'Instream-HabRate'!G35)</f>
        <v>x</v>
      </c>
      <c r="G22" s="278" t="str">
        <f>IF('Instream-HabRate'!H35="","",'Instream-HabRate'!H35)</f>
        <v>x</v>
      </c>
      <c r="H22" s="277">
        <f>IF('Instream-HabRate'!M35="","",IF($D22="","",'Instream-HabRate'!M35))</f>
        <v>3</v>
      </c>
      <c r="I22" s="277">
        <f>IF('Instream-HabRate'!N35="","",IF($D22="","",'Instream-HabRate'!N35))</f>
        <v>2</v>
      </c>
      <c r="J22" s="277">
        <f>IF('Instream-HabRate'!O35="","",IF($D22="","",'Instream-HabRate'!O35))</f>
        <v>2</v>
      </c>
      <c r="K22" s="276">
        <f>IF('Instream-HabRate'!P35="","",IF($E22="","",'Instream-HabRate'!P35))</f>
        <v>3</v>
      </c>
      <c r="L22" s="276">
        <f>IF('Instream-HabRate'!Q35="","",IF($E22="","",'Instream-HabRate'!Q35))</f>
        <v>2</v>
      </c>
      <c r="M22" s="276">
        <f>IF('Instream-HabRate'!R35="","",IF($E22="","",'Instream-HabRate'!R35))</f>
        <v>3</v>
      </c>
      <c r="N22" s="276">
        <f>IF('Instream-HabRate'!S35="","",IF($E22="","",'Instream-HabRate'!S35))</f>
        <v>2</v>
      </c>
      <c r="O22" s="276">
        <f>IF('Instream-HabRate'!T35="","",IF($E22="","",'Instream-HabRate'!T35))</f>
        <v>3</v>
      </c>
      <c r="P22" s="277">
        <f>IF('Instream-HabRate'!U35="","",IF($F22="","",'Instream-HabRate'!U35))</f>
        <v>3</v>
      </c>
      <c r="Q22" s="277">
        <f>IF('Instream-HabRate'!V35="","",IF($F22="","",'Instream-HabRate'!V35))</f>
        <v>1</v>
      </c>
      <c r="R22" s="277">
        <f>IF('Instream-HabRate'!W35="","",IF($F22="","",'Instream-HabRate'!W35))</f>
        <v>1</v>
      </c>
      <c r="S22" s="276">
        <f>IF('Instream-HabRate'!X35="","",IF($G22="","",'Instream-HabRate'!X35))</f>
        <v>2</v>
      </c>
      <c r="T22" s="276">
        <f>IF('Instream-HabRate'!Y35="","",IF($G22="","",'Instream-HabRate'!Y35))</f>
        <v>2</v>
      </c>
      <c r="U22" s="276">
        <f>IF('Instream-HabRate'!Z35="","",IF($G22="","",'Instream-HabRate'!Z35))</f>
        <v>2</v>
      </c>
      <c r="V22" s="276">
        <f>IF('Instream-HabRate'!AA35="","",IF($G22="","",'Instream-HabRate'!AA35))</f>
        <v>2</v>
      </c>
    </row>
    <row r="23" spans="2:22" ht="15.6" x14ac:dyDescent="0.3">
      <c r="B23" s="309">
        <f>IF('Instream-HabRate'!C36&lt;&gt;"", 'Instream-HabRate'!C36,"")</f>
        <v>123605145416506</v>
      </c>
      <c r="C23" s="350">
        <f>'Instream-HabRate'!L36</f>
        <v>13135</v>
      </c>
      <c r="D23" s="278" t="str">
        <f>IF('Instream-HabRate'!E36="","",'Instream-HabRate'!E36)</f>
        <v>x</v>
      </c>
      <c r="E23" s="278" t="str">
        <f>IF('Instream-HabRate'!F36="","",'Instream-HabRate'!F36)</f>
        <v>x</v>
      </c>
      <c r="F23" s="278" t="str">
        <f>IF('Instream-HabRate'!G36="","",'Instream-HabRate'!G36)</f>
        <v>x</v>
      </c>
      <c r="G23" s="278" t="str">
        <f>IF('Instream-HabRate'!H36="","",'Instream-HabRate'!H36)</f>
        <v>x</v>
      </c>
      <c r="H23" s="277">
        <f>IF('Instream-HabRate'!M36="","",IF($D23="","",'Instream-HabRate'!M36))</f>
        <v>3</v>
      </c>
      <c r="I23" s="277">
        <f>IF('Instream-HabRate'!N36="","",IF($D23="","",'Instream-HabRate'!N36))</f>
        <v>2</v>
      </c>
      <c r="J23" s="277">
        <f>IF('Instream-HabRate'!O36="","",IF($D23="","",'Instream-HabRate'!O36))</f>
        <v>3</v>
      </c>
      <c r="K23" s="276">
        <f>IF('Instream-HabRate'!P36="","",IF($E23="","",'Instream-HabRate'!P36))</f>
        <v>2</v>
      </c>
      <c r="L23" s="276">
        <f>IF('Instream-HabRate'!Q36="","",IF($E23="","",'Instream-HabRate'!Q36))</f>
        <v>3</v>
      </c>
      <c r="M23" s="276">
        <f>IF('Instream-HabRate'!R36="","",IF($E23="","",'Instream-HabRate'!R36))</f>
        <v>3</v>
      </c>
      <c r="N23" s="276">
        <f>IF('Instream-HabRate'!S36="","",IF($E23="","",'Instream-HabRate'!S36))</f>
        <v>3</v>
      </c>
      <c r="O23" s="276">
        <f>IF('Instream-HabRate'!T36="","",IF($E23="","",'Instream-HabRate'!T36))</f>
        <v>3</v>
      </c>
      <c r="P23" s="277">
        <f>IF('Instream-HabRate'!U36="","",IF($F23="","",'Instream-HabRate'!U36))</f>
        <v>3</v>
      </c>
      <c r="Q23" s="277">
        <f>IF('Instream-HabRate'!V36="","",IF($F23="","",'Instream-HabRate'!V36))</f>
        <v>1</v>
      </c>
      <c r="R23" s="277">
        <f>IF('Instream-HabRate'!W36="","",IF($F23="","",'Instream-HabRate'!W36))</f>
        <v>1</v>
      </c>
      <c r="S23" s="276">
        <f>IF('Instream-HabRate'!X36="","",IF($G23="","",'Instream-HabRate'!X36))</f>
        <v>2</v>
      </c>
      <c r="T23" s="276">
        <f>IF('Instream-HabRate'!Y36="","",IF($G23="","",'Instream-HabRate'!Y36))</f>
        <v>2</v>
      </c>
      <c r="U23" s="276">
        <f>IF('Instream-HabRate'!Z36="","",IF($G23="","",'Instream-HabRate'!Z36))</f>
        <v>2</v>
      </c>
      <c r="V23" s="276">
        <f>IF('Instream-HabRate'!AA36="","",IF($G23="","",'Instream-HabRate'!AA36))</f>
        <v>2</v>
      </c>
    </row>
    <row r="24" spans="2:22" ht="15.6" x14ac:dyDescent="0.3">
      <c r="B24" s="309">
        <f>IF('Instream-HabRate'!C37&lt;&gt;"", 'Instream-HabRate'!C37,"")</f>
        <v>123605145416507</v>
      </c>
      <c r="C24" s="350">
        <f>'Instream-HabRate'!L37</f>
        <v>20650</v>
      </c>
      <c r="D24" s="278" t="str">
        <f>IF('Instream-HabRate'!E37="","",'Instream-HabRate'!E37)</f>
        <v>x</v>
      </c>
      <c r="E24" s="278" t="str">
        <f>IF('Instream-HabRate'!F37="","",'Instream-HabRate'!F37)</f>
        <v>x</v>
      </c>
      <c r="F24" s="278" t="str">
        <f>IF('Instream-HabRate'!G37="","",'Instream-HabRate'!G37)</f>
        <v>x</v>
      </c>
      <c r="G24" s="278" t="str">
        <f>IF('Instream-HabRate'!H37="","",'Instream-HabRate'!H37)</f>
        <v>x</v>
      </c>
      <c r="H24" s="277">
        <f>IF('Instream-HabRate'!M37="","",IF($D24="","",'Instream-HabRate'!M37))</f>
        <v>3</v>
      </c>
      <c r="I24" s="277">
        <f>IF('Instream-HabRate'!N37="","",IF($D24="","",'Instream-HabRate'!N37))</f>
        <v>2</v>
      </c>
      <c r="J24" s="277">
        <f>IF('Instream-HabRate'!O37="","",IF($D24="","",'Instream-HabRate'!O37))</f>
        <v>3</v>
      </c>
      <c r="K24" s="276">
        <f>IF('Instream-HabRate'!P37="","",IF($E24="","",'Instream-HabRate'!P37))</f>
        <v>3</v>
      </c>
      <c r="L24" s="276">
        <f>IF('Instream-HabRate'!Q37="","",IF($E24="","",'Instream-HabRate'!Q37))</f>
        <v>3</v>
      </c>
      <c r="M24" s="276">
        <f>IF('Instream-HabRate'!R37="","",IF($E24="","",'Instream-HabRate'!R37))</f>
        <v>3</v>
      </c>
      <c r="N24" s="276">
        <f>IF('Instream-HabRate'!S37="","",IF($E24="","",'Instream-HabRate'!S37))</f>
        <v>2</v>
      </c>
      <c r="O24" s="276">
        <f>IF('Instream-HabRate'!T37="","",IF($E24="","",'Instream-HabRate'!T37))</f>
        <v>3</v>
      </c>
      <c r="P24" s="277">
        <f>IF('Instream-HabRate'!U37="","",IF($F24="","",'Instream-HabRate'!U37))</f>
        <v>2</v>
      </c>
      <c r="Q24" s="277">
        <f>IF('Instream-HabRate'!V37="","",IF($F24="","",'Instream-HabRate'!V37))</f>
        <v>1</v>
      </c>
      <c r="R24" s="277">
        <f>IF('Instream-HabRate'!W37="","",IF($F24="","",'Instream-HabRate'!W37))</f>
        <v>1</v>
      </c>
      <c r="S24" s="276">
        <f>IF('Instream-HabRate'!X37="","",IF($G24="","",'Instream-HabRate'!X37))</f>
        <v>2</v>
      </c>
      <c r="T24" s="276">
        <f>IF('Instream-HabRate'!Y37="","",IF($G24="","",'Instream-HabRate'!Y37))</f>
        <v>2</v>
      </c>
      <c r="U24" s="276">
        <f>IF('Instream-HabRate'!Z37="","",IF($G24="","",'Instream-HabRate'!Z37))</f>
        <v>2</v>
      </c>
      <c r="V24" s="276">
        <f>IF('Instream-HabRate'!AA37="","",IF($G24="","",'Instream-HabRate'!AA37))</f>
        <v>2</v>
      </c>
    </row>
    <row r="25" spans="2:22" ht="15.6" x14ac:dyDescent="0.3">
      <c r="B25" s="309">
        <f>IF('Instream-HabRate'!C38&lt;&gt;"", 'Instream-HabRate'!C38,"")</f>
        <v>123605145416508</v>
      </c>
      <c r="C25" s="350">
        <f>'Instream-HabRate'!L38</f>
        <v>14109</v>
      </c>
      <c r="D25" s="278" t="str">
        <f>IF('Instream-HabRate'!E38="","",'Instream-HabRate'!E38)</f>
        <v>x</v>
      </c>
      <c r="E25" s="278" t="str">
        <f>IF('Instream-HabRate'!F38="","",'Instream-HabRate'!F38)</f>
        <v>x</v>
      </c>
      <c r="F25" s="278" t="str">
        <f>IF('Instream-HabRate'!G38="","",'Instream-HabRate'!G38)</f>
        <v>x</v>
      </c>
      <c r="G25" s="278" t="str">
        <f>IF('Instream-HabRate'!H38="","",'Instream-HabRate'!H38)</f>
        <v>x</v>
      </c>
      <c r="H25" s="277">
        <f>IF('Instream-HabRate'!M38="","",IF($D25="","",'Instream-HabRate'!M38))</f>
        <v>3</v>
      </c>
      <c r="I25" s="277">
        <f>IF('Instream-HabRate'!N38="","",IF($D25="","",'Instream-HabRate'!N38))</f>
        <v>2</v>
      </c>
      <c r="J25" s="277">
        <f>IF('Instream-HabRate'!O38="","",IF($D25="","",'Instream-HabRate'!O38))</f>
        <v>3</v>
      </c>
      <c r="K25" s="276">
        <f>IF('Instream-HabRate'!P38="","",IF($E25="","",'Instream-HabRate'!P38))</f>
        <v>3</v>
      </c>
      <c r="L25" s="276">
        <f>IF('Instream-HabRate'!Q38="","",IF($E25="","",'Instream-HabRate'!Q38))</f>
        <v>3</v>
      </c>
      <c r="M25" s="276">
        <f>IF('Instream-HabRate'!R38="","",IF($E25="","",'Instream-HabRate'!R38))</f>
        <v>3</v>
      </c>
      <c r="N25" s="276">
        <f>IF('Instream-HabRate'!S38="","",IF($E25="","",'Instream-HabRate'!S38))</f>
        <v>2</v>
      </c>
      <c r="O25" s="276">
        <f>IF('Instream-HabRate'!T38="","",IF($E25="","",'Instream-HabRate'!T38))</f>
        <v>3</v>
      </c>
      <c r="P25" s="277">
        <f>IF('Instream-HabRate'!U38="","",IF($F25="","",'Instream-HabRate'!U38))</f>
        <v>3</v>
      </c>
      <c r="Q25" s="277">
        <f>IF('Instream-HabRate'!V38="","",IF($F25="","",'Instream-HabRate'!V38))</f>
        <v>3</v>
      </c>
      <c r="R25" s="277">
        <f>IF('Instream-HabRate'!W38="","",IF($F25="","",'Instream-HabRate'!W38))</f>
        <v>1</v>
      </c>
      <c r="S25" s="276">
        <f>IF('Instream-HabRate'!X38="","",IF($G25="","",'Instream-HabRate'!X38))</f>
        <v>2</v>
      </c>
      <c r="T25" s="276">
        <f>IF('Instream-HabRate'!Y38="","",IF($G25="","",'Instream-HabRate'!Y38))</f>
        <v>2</v>
      </c>
      <c r="U25" s="276">
        <f>IF('Instream-HabRate'!Z38="","",IF($G25="","",'Instream-HabRate'!Z38))</f>
        <v>2</v>
      </c>
      <c r="V25" s="276">
        <f>IF('Instream-HabRate'!AA38="","",IF($G25="","",'Instream-HabRate'!AA38))</f>
        <v>2</v>
      </c>
    </row>
    <row r="26" spans="2:22" ht="15.6" x14ac:dyDescent="0.3">
      <c r="B26" s="309">
        <f>IF('Instream-HabRate'!C39&lt;&gt;"", 'Instream-HabRate'!C39,"")</f>
        <v>123605145416509</v>
      </c>
      <c r="C26" s="350">
        <f>'Instream-HabRate'!L39</f>
        <v>9412</v>
      </c>
      <c r="D26" s="278" t="str">
        <f>IF('Instream-HabRate'!E39="","",'Instream-HabRate'!E39)</f>
        <v>x</v>
      </c>
      <c r="E26" s="278" t="str">
        <f>IF('Instream-HabRate'!F39="","",'Instream-HabRate'!F39)</f>
        <v>x</v>
      </c>
      <c r="F26" s="278" t="str">
        <f>IF('Instream-HabRate'!G39="","",'Instream-HabRate'!G39)</f>
        <v>x</v>
      </c>
      <c r="G26" s="278" t="str">
        <f>IF('Instream-HabRate'!H39="","",'Instream-HabRate'!H39)</f>
        <v>x</v>
      </c>
      <c r="H26" s="277">
        <f>IF('Instream-HabRate'!M39="","",IF($D26="","",'Instream-HabRate'!M39))</f>
        <v>3</v>
      </c>
      <c r="I26" s="277">
        <f>IF('Instream-HabRate'!N39="","",IF($D26="","",'Instream-HabRate'!N39))</f>
        <v>2</v>
      </c>
      <c r="J26" s="277">
        <f>IF('Instream-HabRate'!O39="","",IF($D26="","",'Instream-HabRate'!O39))</f>
        <v>3</v>
      </c>
      <c r="K26" s="276">
        <f>IF('Instream-HabRate'!P39="","",IF($E26="","",'Instream-HabRate'!P39))</f>
        <v>2</v>
      </c>
      <c r="L26" s="276">
        <f>IF('Instream-HabRate'!Q39="","",IF($E26="","",'Instream-HabRate'!Q39))</f>
        <v>3</v>
      </c>
      <c r="M26" s="276">
        <f>IF('Instream-HabRate'!R39="","",IF($E26="","",'Instream-HabRate'!R39))</f>
        <v>3</v>
      </c>
      <c r="N26" s="276">
        <f>IF('Instream-HabRate'!S39="","",IF($E26="","",'Instream-HabRate'!S39))</f>
        <v>2</v>
      </c>
      <c r="O26" s="276">
        <f>IF('Instream-HabRate'!T39="","",IF($E26="","",'Instream-HabRate'!T39))</f>
        <v>3</v>
      </c>
      <c r="P26" s="277">
        <f>IF('Instream-HabRate'!U39="","",IF($F26="","",'Instream-HabRate'!U39))</f>
        <v>2</v>
      </c>
      <c r="Q26" s="277">
        <f>IF('Instream-HabRate'!V39="","",IF($F26="","",'Instream-HabRate'!V39))</f>
        <v>1</v>
      </c>
      <c r="R26" s="277">
        <f>IF('Instream-HabRate'!W39="","",IF($F26="","",'Instream-HabRate'!W39))</f>
        <v>1</v>
      </c>
      <c r="S26" s="276">
        <f>IF('Instream-HabRate'!X39="","",IF($G26="","",'Instream-HabRate'!X39))</f>
        <v>2</v>
      </c>
      <c r="T26" s="276">
        <f>IF('Instream-HabRate'!Y39="","",IF($G26="","",'Instream-HabRate'!Y39))</f>
        <v>2</v>
      </c>
      <c r="U26" s="276">
        <f>IF('Instream-HabRate'!Z39="","",IF($G26="","",'Instream-HabRate'!Z39))</f>
        <v>2</v>
      </c>
      <c r="V26" s="276">
        <f>IF('Instream-HabRate'!AA39="","",IF($G26="","",'Instream-HabRate'!AA39))</f>
        <v>2</v>
      </c>
    </row>
    <row r="27" spans="2:22" ht="15.6" x14ac:dyDescent="0.3">
      <c r="B27" s="309">
        <f>IF('Instream-HabRate'!C40&lt;&gt;"", 'Instream-HabRate'!C40,"")</f>
        <v>123605145416510</v>
      </c>
      <c r="C27" s="350">
        <f>'Instream-HabRate'!L40</f>
        <v>8891</v>
      </c>
      <c r="D27" s="278" t="str">
        <f>IF('Instream-HabRate'!E40="","",'Instream-HabRate'!E40)</f>
        <v>x</v>
      </c>
      <c r="E27" s="278" t="str">
        <f>IF('Instream-HabRate'!F40="","",'Instream-HabRate'!F40)</f>
        <v>x</v>
      </c>
      <c r="F27" s="278" t="str">
        <f>IF('Instream-HabRate'!G40="","",'Instream-HabRate'!G40)</f>
        <v>x</v>
      </c>
      <c r="G27" s="278" t="str">
        <f>IF('Instream-HabRate'!H40="","",'Instream-HabRate'!H40)</f>
        <v>x</v>
      </c>
      <c r="H27" s="277">
        <f>IF('Instream-HabRate'!M40="","",IF($D27="","",'Instream-HabRate'!M40))</f>
        <v>3</v>
      </c>
      <c r="I27" s="277">
        <f>IF('Instream-HabRate'!N40="","",IF($D27="","",'Instream-HabRate'!N40))</f>
        <v>2</v>
      </c>
      <c r="J27" s="277">
        <f>IF('Instream-HabRate'!O40="","",IF($D27="","",'Instream-HabRate'!O40))</f>
        <v>3</v>
      </c>
      <c r="K27" s="276">
        <f>IF('Instream-HabRate'!P40="","",IF($E27="","",'Instream-HabRate'!P40))</f>
        <v>2</v>
      </c>
      <c r="L27" s="276">
        <f>IF('Instream-HabRate'!Q40="","",IF($E27="","",'Instream-HabRate'!Q40))</f>
        <v>3</v>
      </c>
      <c r="M27" s="276">
        <f>IF('Instream-HabRate'!R40="","",IF($E27="","",'Instream-HabRate'!R40))</f>
        <v>3</v>
      </c>
      <c r="N27" s="276">
        <f>IF('Instream-HabRate'!S40="","",IF($E27="","",'Instream-HabRate'!S40))</f>
        <v>2</v>
      </c>
      <c r="O27" s="276">
        <f>IF('Instream-HabRate'!T40="","",IF($E27="","",'Instream-HabRate'!T40))</f>
        <v>3</v>
      </c>
      <c r="P27" s="277">
        <f>IF('Instream-HabRate'!U40="","",IF($F27="","",'Instream-HabRate'!U40))</f>
        <v>3</v>
      </c>
      <c r="Q27" s="277">
        <f>IF('Instream-HabRate'!V40="","",IF($F27="","",'Instream-HabRate'!V40))</f>
        <v>2</v>
      </c>
      <c r="R27" s="277">
        <f>IF('Instream-HabRate'!W40="","",IF($F27="","",'Instream-HabRate'!W40))</f>
        <v>1</v>
      </c>
      <c r="S27" s="276">
        <f>IF('Instream-HabRate'!X40="","",IF($G27="","",'Instream-HabRate'!X40))</f>
        <v>2</v>
      </c>
      <c r="T27" s="276">
        <f>IF('Instream-HabRate'!Y40="","",IF($G27="","",'Instream-HabRate'!Y40))</f>
        <v>2</v>
      </c>
      <c r="U27" s="276">
        <f>IF('Instream-HabRate'!Z40="","",IF($G27="","",'Instream-HabRate'!Z40))</f>
        <v>2</v>
      </c>
      <c r="V27" s="276">
        <f>IF('Instream-HabRate'!AA40="","",IF($G27="","",'Instream-HabRate'!AA40))</f>
        <v>2</v>
      </c>
    </row>
    <row r="28" spans="2:22" ht="15.6" x14ac:dyDescent="0.3">
      <c r="B28" s="309">
        <f>IF('Instream-HabRate'!C41&lt;&gt;"", 'Instream-HabRate'!C41,"")</f>
        <v>123605145416511</v>
      </c>
      <c r="C28" s="350">
        <f>'Instream-HabRate'!L41</f>
        <v>9134</v>
      </c>
      <c r="D28" s="278" t="str">
        <f>IF('Instream-HabRate'!E41="","",'Instream-HabRate'!E41)</f>
        <v/>
      </c>
      <c r="E28" s="278" t="str">
        <f>IF('Instream-HabRate'!F41="","",'Instream-HabRate'!F41)</f>
        <v>x</v>
      </c>
      <c r="F28" s="278" t="str">
        <f>IF('Instream-HabRate'!G41="","",'Instream-HabRate'!G41)</f>
        <v>x</v>
      </c>
      <c r="G28" s="278" t="str">
        <f>IF('Instream-HabRate'!H41="","",'Instream-HabRate'!H41)</f>
        <v>x</v>
      </c>
      <c r="H28" s="277" t="str">
        <f>IF('Instream-HabRate'!M41="","",IF($D28="","",'Instream-HabRate'!M41))</f>
        <v/>
      </c>
      <c r="I28" s="277" t="str">
        <f>IF('Instream-HabRate'!N41="","",IF($D28="","",'Instream-HabRate'!N41))</f>
        <v/>
      </c>
      <c r="J28" s="277" t="str">
        <f>IF('Instream-HabRate'!O41="","",IF($D28="","",'Instream-HabRate'!O41))</f>
        <v/>
      </c>
      <c r="K28" s="276">
        <f>IF('Instream-HabRate'!P41="","",IF($E28="","",'Instream-HabRate'!P41))</f>
        <v>2</v>
      </c>
      <c r="L28" s="276">
        <f>IF('Instream-HabRate'!Q41="","",IF($E28="","",'Instream-HabRate'!Q41))</f>
        <v>2</v>
      </c>
      <c r="M28" s="276">
        <f>IF('Instream-HabRate'!R41="","",IF($E28="","",'Instream-HabRate'!R41))</f>
        <v>2</v>
      </c>
      <c r="N28" s="276">
        <f>IF('Instream-HabRate'!S41="","",IF($E28="","",'Instream-HabRate'!S41))</f>
        <v>2</v>
      </c>
      <c r="O28" s="276">
        <f>IF('Instream-HabRate'!T41="","",IF($E28="","",'Instream-HabRate'!T41))</f>
        <v>3</v>
      </c>
      <c r="P28" s="277">
        <f>IF('Instream-HabRate'!U41="","",IF($F28="","",'Instream-HabRate'!U41))</f>
        <v>1</v>
      </c>
      <c r="Q28" s="277">
        <f>IF('Instream-HabRate'!V41="","",IF($F28="","",'Instream-HabRate'!V41))</f>
        <v>1</v>
      </c>
      <c r="R28" s="277">
        <f>IF('Instream-HabRate'!W41="","",IF($F28="","",'Instream-HabRate'!W41))</f>
        <v>1</v>
      </c>
      <c r="S28" s="276">
        <f>IF('Instream-HabRate'!X41="","",IF($G28="","",'Instream-HabRate'!X41))</f>
        <v>2</v>
      </c>
      <c r="T28" s="276">
        <f>IF('Instream-HabRate'!Y41="","",IF($G28="","",'Instream-HabRate'!Y41))</f>
        <v>2</v>
      </c>
      <c r="U28" s="276">
        <f>IF('Instream-HabRate'!Z41="","",IF($G28="","",'Instream-HabRate'!Z41))</f>
        <v>2</v>
      </c>
      <c r="V28" s="276">
        <f>IF('Instream-HabRate'!AA41="","",IF($G28="","",'Instream-HabRate'!AA41))</f>
        <v>2</v>
      </c>
    </row>
    <row r="29" spans="2:22" ht="15.6" x14ac:dyDescent="0.3">
      <c r="B29" s="309">
        <f>IF('Instream-HabRate'!C42&lt;&gt;"", 'Instream-HabRate'!C42,"")</f>
        <v>123558145368201</v>
      </c>
      <c r="C29" s="350">
        <f>'Instream-HabRate'!L42</f>
        <v>1963</v>
      </c>
      <c r="D29" s="278" t="str">
        <f>IF('Instream-HabRate'!E42="","",'Instream-HabRate'!E42)</f>
        <v/>
      </c>
      <c r="E29" s="278" t="str">
        <f>IF('Instream-HabRate'!F42="","",'Instream-HabRate'!F42)</f>
        <v>x</v>
      </c>
      <c r="F29" s="278" t="str">
        <f>IF('Instream-HabRate'!G42="","",'Instream-HabRate'!G42)</f>
        <v>x</v>
      </c>
      <c r="G29" s="278" t="str">
        <f>IF('Instream-HabRate'!H42="","",'Instream-HabRate'!H42)</f>
        <v>x</v>
      </c>
      <c r="H29" s="277" t="str">
        <f>IF('Instream-HabRate'!M42="","",IF($D29="","",'Instream-HabRate'!M42))</f>
        <v/>
      </c>
      <c r="I29" s="277" t="str">
        <f>IF('Instream-HabRate'!N42="","",IF($D29="","",'Instream-HabRate'!N42))</f>
        <v/>
      </c>
      <c r="J29" s="277" t="str">
        <f>IF('Instream-HabRate'!O42="","",IF($D29="","",'Instream-HabRate'!O42))</f>
        <v/>
      </c>
      <c r="K29" s="276">
        <f>IF('Instream-HabRate'!P42="","",IF($E29="","",'Instream-HabRate'!P42))</f>
        <v>2</v>
      </c>
      <c r="L29" s="276">
        <f>IF('Instream-HabRate'!Q42="","",IF($E29="","",'Instream-HabRate'!Q42))</f>
        <v>2</v>
      </c>
      <c r="M29" s="276">
        <f>IF('Instream-HabRate'!R42="","",IF($E29="","",'Instream-HabRate'!R42))</f>
        <v>2</v>
      </c>
      <c r="N29" s="276">
        <f>IF('Instream-HabRate'!S42="","",IF($E29="","",'Instream-HabRate'!S42))</f>
        <v>2</v>
      </c>
      <c r="O29" s="276">
        <f>IF('Instream-HabRate'!T42="","",IF($E29="","",'Instream-HabRate'!T42))</f>
        <v>3</v>
      </c>
      <c r="P29" s="277">
        <f>IF('Instream-HabRate'!U42="","",IF($F29="","",'Instream-HabRate'!U42))</f>
        <v>2</v>
      </c>
      <c r="Q29" s="277">
        <f>IF('Instream-HabRate'!V42="","",IF($F29="","",'Instream-HabRate'!V42))</f>
        <v>1</v>
      </c>
      <c r="R29" s="277">
        <f>IF('Instream-HabRate'!W42="","",IF($F29="","",'Instream-HabRate'!W42))</f>
        <v>1</v>
      </c>
      <c r="S29" s="276">
        <f>IF('Instream-HabRate'!X42="","",IF($G29="","",'Instream-HabRate'!X42))</f>
        <v>2</v>
      </c>
      <c r="T29" s="276">
        <f>IF('Instream-HabRate'!Y42="","",IF($G29="","",'Instream-HabRate'!Y42))</f>
        <v>2</v>
      </c>
      <c r="U29" s="276">
        <f>IF('Instream-HabRate'!Z42="","",IF($G29="","",'Instream-HabRate'!Z42))</f>
        <v>2</v>
      </c>
      <c r="V29" s="276">
        <f>IF('Instream-HabRate'!AA42="","",IF($G29="","",'Instream-HabRate'!AA42))</f>
        <v>2</v>
      </c>
    </row>
    <row r="30" spans="2:22" ht="15.6" x14ac:dyDescent="0.3">
      <c r="B30" s="309">
        <f>IF('Instream-HabRate'!C43&lt;&gt;"", 'Instream-HabRate'!C43,"")</f>
        <v>123515145361401</v>
      </c>
      <c r="C30" s="350">
        <f>'Instream-HabRate'!L43</f>
        <v>3357</v>
      </c>
      <c r="D30" s="278" t="str">
        <f>IF('Instream-HabRate'!E43="","",'Instream-HabRate'!E43)</f>
        <v/>
      </c>
      <c r="E30" s="278" t="str">
        <f>IF('Instream-HabRate'!F43="","",'Instream-HabRate'!F43)</f>
        <v>x</v>
      </c>
      <c r="F30" s="278" t="str">
        <f>IF('Instream-HabRate'!G43="","",'Instream-HabRate'!G43)</f>
        <v>x</v>
      </c>
      <c r="G30" s="278" t="str">
        <f>IF('Instream-HabRate'!H43="","",'Instream-HabRate'!H43)</f>
        <v>x</v>
      </c>
      <c r="H30" s="277" t="str">
        <f>IF('Instream-HabRate'!M43="","",IF($D30="","",'Instream-HabRate'!M43))</f>
        <v/>
      </c>
      <c r="I30" s="277" t="str">
        <f>IF('Instream-HabRate'!N43="","",IF($D30="","",'Instream-HabRate'!N43))</f>
        <v/>
      </c>
      <c r="J30" s="277" t="str">
        <f>IF('Instream-HabRate'!O43="","",IF($D30="","",'Instream-HabRate'!O43))</f>
        <v/>
      </c>
      <c r="K30" s="276">
        <f>IF('Instream-HabRate'!P43="","",IF($E30="","",'Instream-HabRate'!P43))</f>
        <v>3</v>
      </c>
      <c r="L30" s="276">
        <f>IF('Instream-HabRate'!Q43="","",IF($E30="","",'Instream-HabRate'!Q43))</f>
        <v>3</v>
      </c>
      <c r="M30" s="276">
        <f>IF('Instream-HabRate'!R43="","",IF($E30="","",'Instream-HabRate'!R43))</f>
        <v>2</v>
      </c>
      <c r="N30" s="276">
        <f>IF('Instream-HabRate'!S43="","",IF($E30="","",'Instream-HabRate'!S43))</f>
        <v>2</v>
      </c>
      <c r="O30" s="276">
        <f>IF('Instream-HabRate'!T43="","",IF($E30="","",'Instream-HabRate'!T43))</f>
        <v>3</v>
      </c>
      <c r="P30" s="277">
        <f>IF('Instream-HabRate'!U43="","",IF($F30="","",'Instream-HabRate'!U43))</f>
        <v>2</v>
      </c>
      <c r="Q30" s="277">
        <f>IF('Instream-HabRate'!V43="","",IF($F30="","",'Instream-HabRate'!V43))</f>
        <v>1</v>
      </c>
      <c r="R30" s="277">
        <f>IF('Instream-HabRate'!W43="","",IF($F30="","",'Instream-HabRate'!W43))</f>
        <v>1</v>
      </c>
      <c r="S30" s="276">
        <f>IF('Instream-HabRate'!X43="","",IF($G30="","",'Instream-HabRate'!X43))</f>
        <v>1</v>
      </c>
      <c r="T30" s="276">
        <f>IF('Instream-HabRate'!Y43="","",IF($G30="","",'Instream-HabRate'!Y43))</f>
        <v>1</v>
      </c>
      <c r="U30" s="276">
        <f>IF('Instream-HabRate'!Z43="","",IF($G30="","",'Instream-HabRate'!Z43))</f>
        <v>1</v>
      </c>
      <c r="V30" s="276">
        <f>IF('Instream-HabRate'!AA43="","",IF($G30="","",'Instream-HabRate'!AA43))</f>
        <v>1</v>
      </c>
    </row>
    <row r="31" spans="2:22" ht="15.6" x14ac:dyDescent="0.3">
      <c r="B31" s="309">
        <f>IF('Instream-HabRate'!C44&lt;&gt;"", 'Instream-HabRate'!C44,"")</f>
        <v>123547445360901</v>
      </c>
      <c r="C31" s="350">
        <f>'Instream-HabRate'!L44</f>
        <v>6251</v>
      </c>
      <c r="D31" s="278" t="str">
        <f>IF('Instream-HabRate'!E44="","",'Instream-HabRate'!E44)</f>
        <v/>
      </c>
      <c r="E31" s="278" t="str">
        <f>IF('Instream-HabRate'!F44="","",'Instream-HabRate'!F44)</f>
        <v>x</v>
      </c>
      <c r="F31" s="278" t="str">
        <f>IF('Instream-HabRate'!G44="","",'Instream-HabRate'!G44)</f>
        <v>x</v>
      </c>
      <c r="G31" s="278" t="str">
        <f>IF('Instream-HabRate'!H44="","",'Instream-HabRate'!H44)</f>
        <v>x</v>
      </c>
      <c r="H31" s="277" t="str">
        <f>IF('Instream-HabRate'!M44="","",IF($D31="","",'Instream-HabRate'!M44))</f>
        <v/>
      </c>
      <c r="I31" s="277" t="str">
        <f>IF('Instream-HabRate'!N44="","",IF($D31="","",'Instream-HabRate'!N44))</f>
        <v/>
      </c>
      <c r="J31" s="277" t="str">
        <f>IF('Instream-HabRate'!O44="","",IF($D31="","",'Instream-HabRate'!O44))</f>
        <v/>
      </c>
      <c r="K31" s="276">
        <f>IF('Instream-HabRate'!P44="","",IF($E31="","",'Instream-HabRate'!P44))</f>
        <v>3</v>
      </c>
      <c r="L31" s="276">
        <f>IF('Instream-HabRate'!Q44="","",IF($E31="","",'Instream-HabRate'!Q44))</f>
        <v>3</v>
      </c>
      <c r="M31" s="276">
        <f>IF('Instream-HabRate'!R44="","",IF($E31="","",'Instream-HabRate'!R44))</f>
        <v>3</v>
      </c>
      <c r="N31" s="276">
        <f>IF('Instream-HabRate'!S44="","",IF($E31="","",'Instream-HabRate'!S44))</f>
        <v>2</v>
      </c>
      <c r="O31" s="276">
        <f>IF('Instream-HabRate'!T44="","",IF($E31="","",'Instream-HabRate'!T44))</f>
        <v>3</v>
      </c>
      <c r="P31" s="277">
        <f>IF('Instream-HabRate'!U44="","",IF($F31="","",'Instream-HabRate'!U44))</f>
        <v>2</v>
      </c>
      <c r="Q31" s="277">
        <f>IF('Instream-HabRate'!V44="","",IF($F31="","",'Instream-HabRate'!V44))</f>
        <v>3</v>
      </c>
      <c r="R31" s="277">
        <f>IF('Instream-HabRate'!W44="","",IF($F31="","",'Instream-HabRate'!W44))</f>
        <v>1</v>
      </c>
      <c r="S31" s="276">
        <f>IF('Instream-HabRate'!X44="","",IF($G31="","",'Instream-HabRate'!X44))</f>
        <v>2</v>
      </c>
      <c r="T31" s="276">
        <f>IF('Instream-HabRate'!Y44="","",IF($G31="","",'Instream-HabRate'!Y44))</f>
        <v>2</v>
      </c>
      <c r="U31" s="276">
        <f>IF('Instream-HabRate'!Z44="","",IF($G31="","",'Instream-HabRate'!Z44))</f>
        <v>2</v>
      </c>
      <c r="V31" s="276">
        <f>IF('Instream-HabRate'!AA44="","",IF($G31="","",'Instream-HabRate'!AA44))</f>
        <v>2</v>
      </c>
    </row>
    <row r="32" spans="2:22" ht="15.6" x14ac:dyDescent="0.3">
      <c r="B32" s="309">
        <f>IF('Instream-HabRate'!C45&lt;&gt;"", 'Instream-HabRate'!C45,"")</f>
        <v>123547445360902</v>
      </c>
      <c r="C32" s="350">
        <f>'Instream-HabRate'!L45</f>
        <v>1888</v>
      </c>
      <c r="D32" s="278" t="str">
        <f>IF('Instream-HabRate'!E45="","",'Instream-HabRate'!E45)</f>
        <v/>
      </c>
      <c r="E32" s="278" t="str">
        <f>IF('Instream-HabRate'!F45="","",'Instream-HabRate'!F45)</f>
        <v>x</v>
      </c>
      <c r="F32" s="278" t="str">
        <f>IF('Instream-HabRate'!G45="","",'Instream-HabRate'!G45)</f>
        <v>x</v>
      </c>
      <c r="G32" s="278" t="str">
        <f>IF('Instream-HabRate'!H45="","",'Instream-HabRate'!H45)</f>
        <v>x</v>
      </c>
      <c r="H32" s="277" t="str">
        <f>IF('Instream-HabRate'!M45="","",IF($D32="","",'Instream-HabRate'!M45))</f>
        <v/>
      </c>
      <c r="I32" s="277" t="str">
        <f>IF('Instream-HabRate'!N45="","",IF($D32="","",'Instream-HabRate'!N45))</f>
        <v/>
      </c>
      <c r="J32" s="277" t="str">
        <f>IF('Instream-HabRate'!O45="","",IF($D32="","",'Instream-HabRate'!O45))</f>
        <v/>
      </c>
      <c r="K32" s="276">
        <f>IF('Instream-HabRate'!P45="","",IF($E32="","",'Instream-HabRate'!P45))</f>
        <v>3</v>
      </c>
      <c r="L32" s="276">
        <f>IF('Instream-HabRate'!Q45="","",IF($E32="","",'Instream-HabRate'!Q45))</f>
        <v>3</v>
      </c>
      <c r="M32" s="276">
        <f>IF('Instream-HabRate'!R45="","",IF($E32="","",'Instream-HabRate'!R45))</f>
        <v>3</v>
      </c>
      <c r="N32" s="276">
        <f>IF('Instream-HabRate'!S45="","",IF($E32="","",'Instream-HabRate'!S45))</f>
        <v>2</v>
      </c>
      <c r="O32" s="276">
        <f>IF('Instream-HabRate'!T45="","",IF($E32="","",'Instream-HabRate'!T45))</f>
        <v>3</v>
      </c>
      <c r="P32" s="277">
        <f>IF('Instream-HabRate'!U45="","",IF($F32="","",'Instream-HabRate'!U45))</f>
        <v>2</v>
      </c>
      <c r="Q32" s="277">
        <f>IF('Instream-HabRate'!V45="","",IF($F32="","",'Instream-HabRate'!V45))</f>
        <v>1</v>
      </c>
      <c r="R32" s="277">
        <f>IF('Instream-HabRate'!W45="","",IF($F32="","",'Instream-HabRate'!W45))</f>
        <v>1</v>
      </c>
      <c r="S32" s="276">
        <f>IF('Instream-HabRate'!X45="","",IF($G32="","",'Instream-HabRate'!X45))</f>
        <v>3</v>
      </c>
      <c r="T32" s="276">
        <f>IF('Instream-HabRate'!Y45="","",IF($G32="","",'Instream-HabRate'!Y45))</f>
        <v>3</v>
      </c>
      <c r="U32" s="276">
        <f>IF('Instream-HabRate'!Z45="","",IF($G32="","",'Instream-HabRate'!Z45))</f>
        <v>3</v>
      </c>
      <c r="V32" s="276">
        <f>IF('Instream-HabRate'!AA45="","",IF($G32="","",'Instream-HabRate'!AA45))</f>
        <v>3</v>
      </c>
    </row>
    <row r="33" spans="2:22" ht="15.6" x14ac:dyDescent="0.3">
      <c r="B33" s="309">
        <f>IF('Instream-HabRate'!C46&lt;&gt;"", 'Instream-HabRate'!C46,"")</f>
        <v>123562545372801</v>
      </c>
      <c r="C33" s="350">
        <f>'Instream-HabRate'!L46</f>
        <v>1440</v>
      </c>
      <c r="D33" s="278" t="str">
        <f>IF('Instream-HabRate'!E46="","",'Instream-HabRate'!E46)</f>
        <v/>
      </c>
      <c r="E33" s="278" t="str">
        <f>IF('Instream-HabRate'!F46="","",'Instream-HabRate'!F46)</f>
        <v>x</v>
      </c>
      <c r="F33" s="278" t="str">
        <f>IF('Instream-HabRate'!G46="","",'Instream-HabRate'!G46)</f>
        <v>x</v>
      </c>
      <c r="G33" s="278" t="str">
        <f>IF('Instream-HabRate'!H46="","",'Instream-HabRate'!H46)</f>
        <v>x</v>
      </c>
      <c r="H33" s="277" t="str">
        <f>IF('Instream-HabRate'!M46="","",IF($D33="","",'Instream-HabRate'!M46))</f>
        <v/>
      </c>
      <c r="I33" s="277" t="str">
        <f>IF('Instream-HabRate'!N46="","",IF($D33="","",'Instream-HabRate'!N46))</f>
        <v/>
      </c>
      <c r="J33" s="277" t="str">
        <f>IF('Instream-HabRate'!O46="","",IF($D33="","",'Instream-HabRate'!O46))</f>
        <v/>
      </c>
      <c r="K33" s="276">
        <f>IF('Instream-HabRate'!P46="","",IF($E33="","",'Instream-HabRate'!P46))</f>
        <v>3</v>
      </c>
      <c r="L33" s="276">
        <f>IF('Instream-HabRate'!Q46="","",IF($E33="","",'Instream-HabRate'!Q46))</f>
        <v>2</v>
      </c>
      <c r="M33" s="276">
        <f>IF('Instream-HabRate'!R46="","",IF($E33="","",'Instream-HabRate'!R46))</f>
        <v>2</v>
      </c>
      <c r="N33" s="276">
        <f>IF('Instream-HabRate'!S46="","",IF($E33="","",'Instream-HabRate'!S46))</f>
        <v>2</v>
      </c>
      <c r="O33" s="276">
        <f>IF('Instream-HabRate'!T46="","",IF($E33="","",'Instream-HabRate'!T46))</f>
        <v>3</v>
      </c>
      <c r="P33" s="277">
        <f>IF('Instream-HabRate'!U46="","",IF($F33="","",'Instream-HabRate'!U46))</f>
        <v>3</v>
      </c>
      <c r="Q33" s="277">
        <f>IF('Instream-HabRate'!V46="","",IF($F33="","",'Instream-HabRate'!V46))</f>
        <v>1</v>
      </c>
      <c r="R33" s="277">
        <f>IF('Instream-HabRate'!W46="","",IF($F33="","",'Instream-HabRate'!W46))</f>
        <v>1</v>
      </c>
      <c r="S33" s="276">
        <f>IF('Instream-HabRate'!X46="","",IF($G33="","",'Instream-HabRate'!X46))</f>
        <v>3</v>
      </c>
      <c r="T33" s="276">
        <f>IF('Instream-HabRate'!Y46="","",IF($G33="","",'Instream-HabRate'!Y46))</f>
        <v>3</v>
      </c>
      <c r="U33" s="276">
        <f>IF('Instream-HabRate'!Z46="","",IF($G33="","",'Instream-HabRate'!Z46))</f>
        <v>3</v>
      </c>
      <c r="V33" s="276">
        <f>IF('Instream-HabRate'!AA46="","",IF($G33="","",'Instream-HabRate'!AA46))</f>
        <v>3</v>
      </c>
    </row>
    <row r="34" spans="2:22" ht="15.6" x14ac:dyDescent="0.3">
      <c r="B34" s="309">
        <f>IF('Instream-HabRate'!C47&lt;&gt;"", 'Instream-HabRate'!C47,"")</f>
        <v>123562545372802</v>
      </c>
      <c r="C34" s="350">
        <f>'Instream-HabRate'!L47</f>
        <v>1034</v>
      </c>
      <c r="D34" s="278" t="str">
        <f>IF('Instream-HabRate'!E47="","",'Instream-HabRate'!E47)</f>
        <v/>
      </c>
      <c r="E34" s="278" t="str">
        <f>IF('Instream-HabRate'!F47="","",'Instream-HabRate'!F47)</f>
        <v>x</v>
      </c>
      <c r="F34" s="278" t="str">
        <f>IF('Instream-HabRate'!G47="","",'Instream-HabRate'!G47)</f>
        <v>x</v>
      </c>
      <c r="G34" s="278" t="str">
        <f>IF('Instream-HabRate'!H47="","",'Instream-HabRate'!H47)</f>
        <v>x</v>
      </c>
      <c r="H34" s="277" t="str">
        <f>IF('Instream-HabRate'!M47="","",IF($D34="","",'Instream-HabRate'!M47))</f>
        <v/>
      </c>
      <c r="I34" s="277" t="str">
        <f>IF('Instream-HabRate'!N47="","",IF($D34="","",'Instream-HabRate'!N47))</f>
        <v/>
      </c>
      <c r="J34" s="277" t="str">
        <f>IF('Instream-HabRate'!O47="","",IF($D34="","",'Instream-HabRate'!O47))</f>
        <v/>
      </c>
      <c r="K34" s="276">
        <f>IF('Instream-HabRate'!P47="","",IF($E34="","",'Instream-HabRate'!P47))</f>
        <v>3</v>
      </c>
      <c r="L34" s="276">
        <f>IF('Instream-HabRate'!Q47="","",IF($E34="","",'Instream-HabRate'!Q47))</f>
        <v>3</v>
      </c>
      <c r="M34" s="276">
        <f>IF('Instream-HabRate'!R47="","",IF($E34="","",'Instream-HabRate'!R47))</f>
        <v>2</v>
      </c>
      <c r="N34" s="276">
        <f>IF('Instream-HabRate'!S47="","",IF($E34="","",'Instream-HabRate'!S47))</f>
        <v>2</v>
      </c>
      <c r="O34" s="276">
        <f>IF('Instream-HabRate'!T47="","",IF($E34="","",'Instream-HabRate'!T47))</f>
        <v>3</v>
      </c>
      <c r="P34" s="277">
        <f>IF('Instream-HabRate'!U47="","",IF($F34="","",'Instream-HabRate'!U47))</f>
        <v>2</v>
      </c>
      <c r="Q34" s="277">
        <f>IF('Instream-HabRate'!V47="","",IF($F34="","",'Instream-HabRate'!V47))</f>
        <v>2</v>
      </c>
      <c r="R34" s="277">
        <f>IF('Instream-HabRate'!W47="","",IF($F34="","",'Instream-HabRate'!W47))</f>
        <v>2</v>
      </c>
      <c r="S34" s="276">
        <f>IF('Instream-HabRate'!X47="","",IF($G34="","",'Instream-HabRate'!X47))</f>
        <v>3</v>
      </c>
      <c r="T34" s="276">
        <f>IF('Instream-HabRate'!Y47="","",IF($G34="","",'Instream-HabRate'!Y47))</f>
        <v>3</v>
      </c>
      <c r="U34" s="276">
        <f>IF('Instream-HabRate'!Z47="","",IF($G34="","",'Instream-HabRate'!Z47))</f>
        <v>3</v>
      </c>
      <c r="V34" s="276">
        <f>IF('Instream-HabRate'!AA47="","",IF($G34="","",'Instream-HabRate'!AA47))</f>
        <v>3</v>
      </c>
    </row>
    <row r="35" spans="2:22" ht="15.6" x14ac:dyDescent="0.3">
      <c r="B35" s="309">
        <f>IF('Instream-HabRate'!C48&lt;&gt;"", 'Instream-HabRate'!C48,"")</f>
        <v>123538845350502</v>
      </c>
      <c r="C35" s="350">
        <f>'Instream-HabRate'!L48</f>
        <v>800</v>
      </c>
      <c r="D35" s="278" t="str">
        <f>IF('Instream-HabRate'!E48="","",'Instream-HabRate'!E48)</f>
        <v/>
      </c>
      <c r="E35" s="278" t="str">
        <f>IF('Instream-HabRate'!F48="","",'Instream-HabRate'!F48)</f>
        <v/>
      </c>
      <c r="F35" s="278" t="str">
        <f>IF('Instream-HabRate'!G48="","",'Instream-HabRate'!G48)</f>
        <v/>
      </c>
      <c r="G35" s="278" t="str">
        <f>IF('Instream-HabRate'!H48="","",'Instream-HabRate'!H48)</f>
        <v>x</v>
      </c>
      <c r="H35" s="277" t="str">
        <f>IF('Instream-HabRate'!M48="","",IF($D35="","",'Instream-HabRate'!M48))</f>
        <v/>
      </c>
      <c r="I35" s="277" t="str">
        <f>IF('Instream-HabRate'!N48="","",IF($D35="","",'Instream-HabRate'!N48))</f>
        <v/>
      </c>
      <c r="J35" s="277" t="str">
        <f>IF('Instream-HabRate'!O48="","",IF($D35="","",'Instream-HabRate'!O48))</f>
        <v/>
      </c>
      <c r="K35" s="276" t="str">
        <f>IF('Instream-HabRate'!P48="","",IF($E35="","",'Instream-HabRate'!P48))</f>
        <v/>
      </c>
      <c r="L35" s="276" t="str">
        <f>IF('Instream-HabRate'!Q48="","",IF($E35="","",'Instream-HabRate'!Q48))</f>
        <v/>
      </c>
      <c r="M35" s="276" t="str">
        <f>IF('Instream-HabRate'!R48="","",IF($E35="","",'Instream-HabRate'!R48))</f>
        <v/>
      </c>
      <c r="N35" s="276" t="str">
        <f>IF('Instream-HabRate'!S48="","",IF($E35="","",'Instream-HabRate'!S48))</f>
        <v/>
      </c>
      <c r="O35" s="276" t="str">
        <f>IF('Instream-HabRate'!T48="","",IF($E35="","",'Instream-HabRate'!T48))</f>
        <v/>
      </c>
      <c r="P35" s="277" t="str">
        <f>IF('Instream-HabRate'!U48="","",IF($F35="","",'Instream-HabRate'!U48))</f>
        <v/>
      </c>
      <c r="Q35" s="277" t="str">
        <f>IF('Instream-HabRate'!V48="","",IF($F35="","",'Instream-HabRate'!V48))</f>
        <v/>
      </c>
      <c r="R35" s="277" t="str">
        <f>IF('Instream-HabRate'!W48="","",IF($F35="","",'Instream-HabRate'!W48))</f>
        <v/>
      </c>
      <c r="S35" s="276">
        <f>IF('Instream-HabRate'!X48="","",IF($G35="","",'Instream-HabRate'!X48))</f>
        <v>2</v>
      </c>
      <c r="T35" s="276">
        <f>IF('Instream-HabRate'!Y48="","",IF($G35="","",'Instream-HabRate'!Y48))</f>
        <v>2</v>
      </c>
      <c r="U35" s="276">
        <f>IF('Instream-HabRate'!Z48="","",IF($G35="","",'Instream-HabRate'!Z48))</f>
        <v>2</v>
      </c>
      <c r="V35" s="276">
        <f>IF('Instream-HabRate'!AA48="","",IF($G35="","",'Instream-HabRate'!AA48))</f>
        <v>2</v>
      </c>
    </row>
    <row r="36" spans="2:22" ht="15.6" x14ac:dyDescent="0.3">
      <c r="B36" s="309">
        <f>IF('Instream-HabRate'!C49&lt;&gt;"", 'Instream-HabRate'!C49,"")</f>
        <v>545</v>
      </c>
      <c r="C36" s="350">
        <f>'Instream-HabRate'!L49</f>
        <v>6025.7999999999993</v>
      </c>
      <c r="D36" s="278" t="str">
        <f>IF('Instream-HabRate'!E49="","",'Instream-HabRate'!E49)</f>
        <v/>
      </c>
      <c r="E36" s="278" t="str">
        <f>IF('Instream-HabRate'!F49="","",'Instream-HabRate'!F49)</f>
        <v>x</v>
      </c>
      <c r="F36" s="278" t="str">
        <f>IF('Instream-HabRate'!G49="","",'Instream-HabRate'!G49)</f>
        <v>x</v>
      </c>
      <c r="G36" s="278" t="str">
        <f>IF('Instream-HabRate'!H49="","",'Instream-HabRate'!H49)</f>
        <v>x</v>
      </c>
      <c r="H36" s="277" t="str">
        <f>IF('Instream-HabRate'!M49="","",IF($D36="","",'Instream-HabRate'!M49))</f>
        <v/>
      </c>
      <c r="I36" s="277" t="str">
        <f>IF('Instream-HabRate'!N49="","",IF($D36="","",'Instream-HabRate'!N49))</f>
        <v/>
      </c>
      <c r="J36" s="277" t="str">
        <f>IF('Instream-HabRate'!O49="","",IF($D36="","",'Instream-HabRate'!O49))</f>
        <v/>
      </c>
      <c r="K36" s="276">
        <f>IF('Instream-HabRate'!P49="","",IF($E36="","",'Instream-HabRate'!P49))</f>
        <v>2</v>
      </c>
      <c r="L36" s="276">
        <f>IF('Instream-HabRate'!Q49="","",IF($E36="","",'Instream-HabRate'!Q49))</f>
        <v>3</v>
      </c>
      <c r="M36" s="276">
        <f>IF('Instream-HabRate'!R49="","",IF($E36="","",'Instream-HabRate'!R49))</f>
        <v>3</v>
      </c>
      <c r="N36" s="276">
        <f>IF('Instream-HabRate'!S49="","",IF($E36="","",'Instream-HabRate'!S49))</f>
        <v>2</v>
      </c>
      <c r="O36" s="276">
        <f>IF('Instream-HabRate'!T49="","",IF($E36="","",'Instream-HabRate'!T49))</f>
        <v>3</v>
      </c>
      <c r="P36" s="277">
        <f>IF('Instream-HabRate'!U49="","",IF($F36="","",'Instream-HabRate'!U49))</f>
        <v>1</v>
      </c>
      <c r="Q36" s="277">
        <f>IF('Instream-HabRate'!V49="","",IF($F36="","",'Instream-HabRate'!V49))</f>
        <v>3</v>
      </c>
      <c r="R36" s="277">
        <f>IF('Instream-HabRate'!W49="","",IF($F36="","",'Instream-HabRate'!W49))</f>
        <v>1</v>
      </c>
      <c r="S36" s="276">
        <f>IF('Instream-HabRate'!X49="","",IF($G36="","",'Instream-HabRate'!X49))</f>
        <v>2</v>
      </c>
      <c r="T36" s="276">
        <f>IF('Instream-HabRate'!Y49="","",IF($G36="","",'Instream-HabRate'!Y49))</f>
        <v>2</v>
      </c>
      <c r="U36" s="276">
        <f>IF('Instream-HabRate'!Z49="","",IF($G36="","",'Instream-HabRate'!Z49))</f>
        <v>3</v>
      </c>
      <c r="V36" s="276">
        <f>IF('Instream-HabRate'!AA49="","",IF($G36="","",'Instream-HabRate'!AA49))</f>
        <v>2</v>
      </c>
    </row>
    <row r="37" spans="2:22" ht="15.6" x14ac:dyDescent="0.3">
      <c r="B37" s="309">
        <f>IF('Instream-HabRate'!C50&lt;&gt;"", 'Instream-HabRate'!C50,"")</f>
        <v>20618</v>
      </c>
      <c r="C37" s="350">
        <f>'Instream-HabRate'!L50</f>
        <v>4480.7299999999996</v>
      </c>
      <c r="D37" s="278" t="str">
        <f>IF('Instream-HabRate'!E50="","",'Instream-HabRate'!E50)</f>
        <v/>
      </c>
      <c r="E37" s="278" t="str">
        <f>IF('Instream-HabRate'!F50="","",'Instream-HabRate'!F50)</f>
        <v>x</v>
      </c>
      <c r="F37" s="278" t="str">
        <f>IF('Instream-HabRate'!G50="","",'Instream-HabRate'!G50)</f>
        <v>x</v>
      </c>
      <c r="G37" s="278" t="str">
        <f>IF('Instream-HabRate'!H50="","",'Instream-HabRate'!H50)</f>
        <v>x</v>
      </c>
      <c r="H37" s="277" t="str">
        <f>IF('Instream-HabRate'!M50="","",IF($D37="","",'Instream-HabRate'!M50))</f>
        <v/>
      </c>
      <c r="I37" s="277" t="str">
        <f>IF('Instream-HabRate'!N50="","",IF($D37="","",'Instream-HabRate'!N50))</f>
        <v/>
      </c>
      <c r="J37" s="277" t="str">
        <f>IF('Instream-HabRate'!O50="","",IF($D37="","",'Instream-HabRate'!O50))</f>
        <v/>
      </c>
      <c r="K37" s="276">
        <f>IF('Instream-HabRate'!P50="","",IF($E37="","",'Instream-HabRate'!P50))</f>
        <v>2</v>
      </c>
      <c r="L37" s="276">
        <f>IF('Instream-HabRate'!Q50="","",IF($E37="","",'Instream-HabRate'!Q50))</f>
        <v>3</v>
      </c>
      <c r="M37" s="276">
        <f>IF('Instream-HabRate'!R50="","",IF($E37="","",'Instream-HabRate'!R50))</f>
        <v>3</v>
      </c>
      <c r="N37" s="276">
        <f>IF('Instream-HabRate'!S50="","",IF($E37="","",'Instream-HabRate'!S50))</f>
        <v>2</v>
      </c>
      <c r="O37" s="276">
        <f>IF('Instream-HabRate'!T50="","",IF($E37="","",'Instream-HabRate'!T50))</f>
        <v>3</v>
      </c>
      <c r="P37" s="277">
        <f>IF('Instream-HabRate'!U50="","",IF($F37="","",'Instream-HabRate'!U50))</f>
        <v>1</v>
      </c>
      <c r="Q37" s="277">
        <f>IF('Instream-HabRate'!V50="","",IF($F37="","",'Instream-HabRate'!V50))</f>
        <v>2</v>
      </c>
      <c r="R37" s="277">
        <f>IF('Instream-HabRate'!W50="","",IF($F37="","",'Instream-HabRate'!W50))</f>
        <v>1</v>
      </c>
      <c r="S37" s="276">
        <f>IF('Instream-HabRate'!X50="","",IF($G37="","",'Instream-HabRate'!X50))</f>
        <v>2</v>
      </c>
      <c r="T37" s="276">
        <f>IF('Instream-HabRate'!Y50="","",IF($G37="","",'Instream-HabRate'!Y50))</f>
        <v>2</v>
      </c>
      <c r="U37" s="276">
        <f>IF('Instream-HabRate'!Z50="","",IF($G37="","",'Instream-HabRate'!Z50))</f>
        <v>2</v>
      </c>
      <c r="V37" s="276">
        <f>IF('Instream-HabRate'!AA50="","",IF($G37="","",'Instream-HabRate'!AA50))</f>
        <v>2</v>
      </c>
    </row>
    <row r="38" spans="2:22" ht="15.6" x14ac:dyDescent="0.3">
      <c r="B38" s="309">
        <f>IF('Instream-HabRate'!C51&lt;&gt;"", 'Instream-HabRate'!C51,"")</f>
        <v>534</v>
      </c>
      <c r="C38" s="350">
        <f>'Instream-HabRate'!L51</f>
        <v>15505</v>
      </c>
      <c r="D38" s="278" t="str">
        <f>IF('Instream-HabRate'!E51="","",'Instream-HabRate'!E51)</f>
        <v>x</v>
      </c>
      <c r="E38" s="278" t="str">
        <f>IF('Instream-HabRate'!F51="","",'Instream-HabRate'!F51)</f>
        <v>x</v>
      </c>
      <c r="F38" s="278" t="str">
        <f>IF('Instream-HabRate'!G51="","",'Instream-HabRate'!G51)</f>
        <v>x</v>
      </c>
      <c r="G38" s="278" t="str">
        <f>IF('Instream-HabRate'!H51="","",'Instream-HabRate'!H51)</f>
        <v>x</v>
      </c>
      <c r="H38" s="277">
        <f>IF('Instream-HabRate'!M51="","",IF($D38="","",'Instream-HabRate'!M51))</f>
        <v>1</v>
      </c>
      <c r="I38" s="277">
        <f>IF('Instream-HabRate'!N51="","",IF($D38="","",'Instream-HabRate'!N51))</f>
        <v>2</v>
      </c>
      <c r="J38" s="277">
        <f>IF('Instream-HabRate'!O51="","",IF($D38="","",'Instream-HabRate'!O51))</f>
        <v>2</v>
      </c>
      <c r="K38" s="276">
        <f>IF('Instream-HabRate'!P51="","",IF($E38="","",'Instream-HabRate'!P51))</f>
        <v>1</v>
      </c>
      <c r="L38" s="276">
        <f>IF('Instream-HabRate'!Q51="","",IF($E38="","",'Instream-HabRate'!Q51))</f>
        <v>2</v>
      </c>
      <c r="M38" s="276">
        <f>IF('Instream-HabRate'!R51="","",IF($E38="","",'Instream-HabRate'!R51))</f>
        <v>2</v>
      </c>
      <c r="N38" s="276">
        <f>IF('Instream-HabRate'!S51="","",IF($E38="","",'Instream-HabRate'!S51))</f>
        <v>2</v>
      </c>
      <c r="O38" s="276">
        <f>IF('Instream-HabRate'!T51="","",IF($E38="","",'Instream-HabRate'!T51))</f>
        <v>2</v>
      </c>
      <c r="P38" s="277">
        <f>IF('Instream-HabRate'!U51="","",IF($F38="","",'Instream-HabRate'!U51))</f>
        <v>1</v>
      </c>
      <c r="Q38" s="277">
        <f>IF('Instream-HabRate'!V51="","",IF($F38="","",'Instream-HabRate'!V51))</f>
        <v>1</v>
      </c>
      <c r="R38" s="277">
        <f>IF('Instream-HabRate'!W51="","",IF($F38="","",'Instream-HabRate'!W51))</f>
        <v>1</v>
      </c>
      <c r="S38" s="276">
        <f>IF('Instream-HabRate'!X51="","",IF($G38="","",'Instream-HabRate'!X51))</f>
        <v>1</v>
      </c>
      <c r="T38" s="276">
        <f>IF('Instream-HabRate'!Y51="","",IF($G38="","",'Instream-HabRate'!Y51))</f>
        <v>1</v>
      </c>
      <c r="U38" s="276">
        <f>IF('Instream-HabRate'!Z51="","",IF($G38="","",'Instream-HabRate'!Z51))</f>
        <v>1</v>
      </c>
      <c r="V38" s="276">
        <f>IF('Instream-HabRate'!AA51="","",IF($G38="","",'Instream-HabRate'!AA51))</f>
        <v>2</v>
      </c>
    </row>
    <row r="39" spans="2:22" ht="15.6" x14ac:dyDescent="0.3">
      <c r="B39" s="309" t="str">
        <f>IF('Instream-HabRate'!C52&lt;&gt;"", 'Instream-HabRate'!C52,"")</f>
        <v/>
      </c>
      <c r="C39" s="350" t="str">
        <f>'Instream-HabRate'!L52</f>
        <v/>
      </c>
      <c r="D39" s="278" t="str">
        <f>IF('Instream-HabRate'!E52="","",'Instream-HabRate'!E52)</f>
        <v/>
      </c>
      <c r="E39" s="278" t="str">
        <f>IF('Instream-HabRate'!F52="","",'Instream-HabRate'!F52)</f>
        <v/>
      </c>
      <c r="F39" s="278" t="str">
        <f>IF('Instream-HabRate'!G52="","",'Instream-HabRate'!G52)</f>
        <v/>
      </c>
      <c r="G39" s="278" t="str">
        <f>IF('Instream-HabRate'!H52="","",'Instream-HabRate'!H52)</f>
        <v/>
      </c>
      <c r="H39" s="277" t="str">
        <f>IF('Instream-HabRate'!M52="","",IF($D39="","",'Instream-HabRate'!M52))</f>
        <v/>
      </c>
      <c r="I39" s="277" t="str">
        <f>IF('Instream-HabRate'!N52="","",IF($D39="","",'Instream-HabRate'!N52))</f>
        <v/>
      </c>
      <c r="J39" s="277" t="str">
        <f>IF('Instream-HabRate'!O52="","",IF($D39="","",'Instream-HabRate'!O52))</f>
        <v/>
      </c>
      <c r="K39" s="276" t="str">
        <f>IF('Instream-HabRate'!P52="","",IF($E39="","",'Instream-HabRate'!P52))</f>
        <v/>
      </c>
      <c r="L39" s="276" t="str">
        <f>IF('Instream-HabRate'!Q52="","",IF($E39="","",'Instream-HabRate'!Q52))</f>
        <v/>
      </c>
      <c r="M39" s="276" t="str">
        <f>IF('Instream-HabRate'!R52="","",IF($E39="","",'Instream-HabRate'!R52))</f>
        <v/>
      </c>
      <c r="N39" s="276" t="str">
        <f>IF('Instream-HabRate'!S52="","",IF($E39="","",'Instream-HabRate'!S52))</f>
        <v/>
      </c>
      <c r="O39" s="276" t="str">
        <f>IF('Instream-HabRate'!T52="","",IF($E39="","",'Instream-HabRate'!T52))</f>
        <v/>
      </c>
      <c r="P39" s="277" t="str">
        <f>IF('Instream-HabRate'!U52="","",IF($F39="","",'Instream-HabRate'!U52))</f>
        <v/>
      </c>
      <c r="Q39" s="277" t="str">
        <f>IF('Instream-HabRate'!V52="","",IF($F39="","",'Instream-HabRate'!V52))</f>
        <v/>
      </c>
      <c r="R39" s="277" t="str">
        <f>IF('Instream-HabRate'!W52="","",IF($F39="","",'Instream-HabRate'!W52))</f>
        <v/>
      </c>
      <c r="S39" s="276" t="str">
        <f>IF('Instream-HabRate'!X52="","",IF($G39="","",'Instream-HabRate'!X52))</f>
        <v/>
      </c>
      <c r="T39" s="276" t="str">
        <f>IF('Instream-HabRate'!Y52="","",IF($G39="","",'Instream-HabRate'!Y52))</f>
        <v/>
      </c>
      <c r="U39" s="276" t="str">
        <f>IF('Instream-HabRate'!Z52="","",IF($G39="","",'Instream-HabRate'!Z52))</f>
        <v/>
      </c>
      <c r="V39" s="276" t="str">
        <f>IF('Instream-HabRate'!AA52="","",IF($G39="","",'Instream-HabRate'!AA52))</f>
        <v/>
      </c>
    </row>
    <row r="40" spans="2:22" ht="15.6" x14ac:dyDescent="0.3">
      <c r="B40" s="309" t="str">
        <f>IF('Instream-HabRate'!C53&lt;&gt;"", 'Instream-HabRate'!C53,"")</f>
        <v/>
      </c>
      <c r="C40" s="350" t="str">
        <f>'Instream-HabRate'!L53</f>
        <v/>
      </c>
      <c r="D40" s="278" t="str">
        <f>IF('Instream-HabRate'!E53="","",'Instream-HabRate'!E53)</f>
        <v/>
      </c>
      <c r="E40" s="278" t="str">
        <f>IF('Instream-HabRate'!F53="","",'Instream-HabRate'!F53)</f>
        <v/>
      </c>
      <c r="F40" s="278" t="str">
        <f>IF('Instream-HabRate'!G53="","",'Instream-HabRate'!G53)</f>
        <v/>
      </c>
      <c r="G40" s="278" t="str">
        <f>IF('Instream-HabRate'!H53="","",'Instream-HabRate'!H53)</f>
        <v/>
      </c>
      <c r="H40" s="277" t="str">
        <f>IF('Instream-HabRate'!M53="","",IF($D40="","",'Instream-HabRate'!M53))</f>
        <v/>
      </c>
      <c r="I40" s="277" t="str">
        <f>IF('Instream-HabRate'!N53="","",IF($D40="","",'Instream-HabRate'!N53))</f>
        <v/>
      </c>
      <c r="J40" s="277" t="str">
        <f>IF('Instream-HabRate'!O53="","",IF($D40="","",'Instream-HabRate'!O53))</f>
        <v/>
      </c>
      <c r="K40" s="276" t="str">
        <f>IF('Instream-HabRate'!P53="","",IF($E40="","",'Instream-HabRate'!P53))</f>
        <v/>
      </c>
      <c r="L40" s="276" t="str">
        <f>IF('Instream-HabRate'!Q53="","",IF($E40="","",'Instream-HabRate'!Q53))</f>
        <v/>
      </c>
      <c r="M40" s="276" t="str">
        <f>IF('Instream-HabRate'!R53="","",IF($E40="","",'Instream-HabRate'!R53))</f>
        <v/>
      </c>
      <c r="N40" s="276" t="str">
        <f>IF('Instream-HabRate'!S53="","",IF($E40="","",'Instream-HabRate'!S53))</f>
        <v/>
      </c>
      <c r="O40" s="276" t="str">
        <f>IF('Instream-HabRate'!T53="","",IF($E40="","",'Instream-HabRate'!T53))</f>
        <v/>
      </c>
      <c r="P40" s="277" t="str">
        <f>IF('Instream-HabRate'!U53="","",IF($F40="","",'Instream-HabRate'!U53))</f>
        <v/>
      </c>
      <c r="Q40" s="277" t="str">
        <f>IF('Instream-HabRate'!V53="","",IF($F40="","",'Instream-HabRate'!V53))</f>
        <v/>
      </c>
      <c r="R40" s="277" t="str">
        <f>IF('Instream-HabRate'!W53="","",IF($F40="","",'Instream-HabRate'!W53))</f>
        <v/>
      </c>
      <c r="S40" s="276" t="str">
        <f>IF('Instream-HabRate'!X53="","",IF($G40="","",'Instream-HabRate'!X53))</f>
        <v/>
      </c>
      <c r="T40" s="276" t="str">
        <f>IF('Instream-HabRate'!Y53="","",IF($G40="","",'Instream-HabRate'!Y53))</f>
        <v/>
      </c>
      <c r="U40" s="276" t="str">
        <f>IF('Instream-HabRate'!Z53="","",IF($G40="","",'Instream-HabRate'!Z53))</f>
        <v/>
      </c>
      <c r="V40" s="276" t="str">
        <f>IF('Instream-HabRate'!AA53="","",IF($G40="","",'Instream-HabRate'!AA53))</f>
        <v/>
      </c>
    </row>
    <row r="41" spans="2:22" ht="15.6" x14ac:dyDescent="0.3">
      <c r="B41" s="309" t="str">
        <f>IF('Instream-HabRate'!C54&lt;&gt;"", 'Instream-HabRate'!C54,"")</f>
        <v/>
      </c>
      <c r="C41" s="350" t="str">
        <f>'Instream-HabRate'!L54</f>
        <v/>
      </c>
      <c r="D41" s="278" t="str">
        <f>IF('Instream-HabRate'!E54="","",'Instream-HabRate'!E54)</f>
        <v/>
      </c>
      <c r="E41" s="278" t="str">
        <f>IF('Instream-HabRate'!F54="","",'Instream-HabRate'!F54)</f>
        <v/>
      </c>
      <c r="F41" s="278" t="str">
        <f>IF('Instream-HabRate'!G54="","",'Instream-HabRate'!G54)</f>
        <v/>
      </c>
      <c r="G41" s="278" t="str">
        <f>IF('Instream-HabRate'!H54="","",'Instream-HabRate'!H54)</f>
        <v/>
      </c>
      <c r="H41" s="277" t="str">
        <f>IF('Instream-HabRate'!M54="","",IF($D41="","",'Instream-HabRate'!M54))</f>
        <v/>
      </c>
      <c r="I41" s="277" t="str">
        <f>IF('Instream-HabRate'!N54="","",IF($D41="","",'Instream-HabRate'!N54))</f>
        <v/>
      </c>
      <c r="J41" s="277" t="str">
        <f>IF('Instream-HabRate'!O54="","",IF($D41="","",'Instream-HabRate'!O54))</f>
        <v/>
      </c>
      <c r="K41" s="276" t="str">
        <f>IF('Instream-HabRate'!P54="","",IF($E41="","",'Instream-HabRate'!P54))</f>
        <v/>
      </c>
      <c r="L41" s="276" t="str">
        <f>IF('Instream-HabRate'!Q54="","",IF($E41="","",'Instream-HabRate'!Q54))</f>
        <v/>
      </c>
      <c r="M41" s="276" t="str">
        <f>IF('Instream-HabRate'!R54="","",IF($E41="","",'Instream-HabRate'!R54))</f>
        <v/>
      </c>
      <c r="N41" s="276" t="str">
        <f>IF('Instream-HabRate'!S54="","",IF($E41="","",'Instream-HabRate'!S54))</f>
        <v/>
      </c>
      <c r="O41" s="276" t="str">
        <f>IF('Instream-HabRate'!T54="","",IF($E41="","",'Instream-HabRate'!T54))</f>
        <v/>
      </c>
      <c r="P41" s="277" t="str">
        <f>IF('Instream-HabRate'!U54="","",IF($F41="","",'Instream-HabRate'!U54))</f>
        <v/>
      </c>
      <c r="Q41" s="277" t="str">
        <f>IF('Instream-HabRate'!V54="","",IF($F41="","",'Instream-HabRate'!V54))</f>
        <v/>
      </c>
      <c r="R41" s="277" t="str">
        <f>IF('Instream-HabRate'!W54="","",IF($F41="","",'Instream-HabRate'!W54))</f>
        <v/>
      </c>
      <c r="S41" s="276" t="str">
        <f>IF('Instream-HabRate'!X54="","",IF($G41="","",'Instream-HabRate'!X54))</f>
        <v/>
      </c>
      <c r="T41" s="276" t="str">
        <f>IF('Instream-HabRate'!Y54="","",IF($G41="","",'Instream-HabRate'!Y54))</f>
        <v/>
      </c>
      <c r="U41" s="276" t="str">
        <f>IF('Instream-HabRate'!Z54="","",IF($G41="","",'Instream-HabRate'!Z54))</f>
        <v/>
      </c>
      <c r="V41" s="276" t="str">
        <f>IF('Instream-HabRate'!AA54="","",IF($G41="","",'Instream-HabRate'!AA54))</f>
        <v/>
      </c>
    </row>
    <row r="42" spans="2:22" ht="15.6" x14ac:dyDescent="0.3">
      <c r="B42" s="309" t="str">
        <f>IF('Instream-HabRate'!C55&lt;&gt;"", 'Instream-HabRate'!C55,"")</f>
        <v/>
      </c>
      <c r="C42" s="350" t="str">
        <f>'Instream-HabRate'!L55</f>
        <v/>
      </c>
      <c r="D42" s="278" t="str">
        <f>IF('Instream-HabRate'!E55="","",'Instream-HabRate'!E55)</f>
        <v/>
      </c>
      <c r="E42" s="278" t="str">
        <f>IF('Instream-HabRate'!F55="","",'Instream-HabRate'!F55)</f>
        <v/>
      </c>
      <c r="F42" s="278" t="str">
        <f>IF('Instream-HabRate'!G55="","",'Instream-HabRate'!G55)</f>
        <v/>
      </c>
      <c r="G42" s="278" t="str">
        <f>IF('Instream-HabRate'!H55="","",'Instream-HabRate'!H55)</f>
        <v/>
      </c>
      <c r="H42" s="277" t="str">
        <f>IF('Instream-HabRate'!M55="","",IF($D42="","",'Instream-HabRate'!M55))</f>
        <v/>
      </c>
      <c r="I42" s="277" t="str">
        <f>IF('Instream-HabRate'!N55="","",IF($D42="","",'Instream-HabRate'!N55))</f>
        <v/>
      </c>
      <c r="J42" s="277" t="str">
        <f>IF('Instream-HabRate'!O55="","",IF($D42="","",'Instream-HabRate'!O55))</f>
        <v/>
      </c>
      <c r="K42" s="276" t="str">
        <f>IF('Instream-HabRate'!P55="","",IF($E42="","",'Instream-HabRate'!P55))</f>
        <v/>
      </c>
      <c r="L42" s="276" t="str">
        <f>IF('Instream-HabRate'!Q55="","",IF($E42="","",'Instream-HabRate'!Q55))</f>
        <v/>
      </c>
      <c r="M42" s="276" t="str">
        <f>IF('Instream-HabRate'!R55="","",IF($E42="","",'Instream-HabRate'!R55))</f>
        <v/>
      </c>
      <c r="N42" s="276" t="str">
        <f>IF('Instream-HabRate'!S55="","",IF($E42="","",'Instream-HabRate'!S55))</f>
        <v/>
      </c>
      <c r="O42" s="276" t="str">
        <f>IF('Instream-HabRate'!T55="","",IF($E42="","",'Instream-HabRate'!T55))</f>
        <v/>
      </c>
      <c r="P42" s="277" t="str">
        <f>IF('Instream-HabRate'!U55="","",IF($F42="","",'Instream-HabRate'!U55))</f>
        <v/>
      </c>
      <c r="Q42" s="277" t="str">
        <f>IF('Instream-HabRate'!V55="","",IF($F42="","",'Instream-HabRate'!V55))</f>
        <v/>
      </c>
      <c r="R42" s="277" t="str">
        <f>IF('Instream-HabRate'!W55="","",IF($F42="","",'Instream-HabRate'!W55))</f>
        <v/>
      </c>
      <c r="S42" s="276" t="str">
        <f>IF('Instream-HabRate'!X55="","",IF($G42="","",'Instream-HabRate'!X55))</f>
        <v/>
      </c>
      <c r="T42" s="276" t="str">
        <f>IF('Instream-HabRate'!Y55="","",IF($G42="","",'Instream-HabRate'!Y55))</f>
        <v/>
      </c>
      <c r="U42" s="276" t="str">
        <f>IF('Instream-HabRate'!Z55="","",IF($G42="","",'Instream-HabRate'!Z55))</f>
        <v/>
      </c>
      <c r="V42" s="276" t="str">
        <f>IF('Instream-HabRate'!AA55="","",IF($G42="","",'Instream-HabRate'!AA55))</f>
        <v/>
      </c>
    </row>
    <row r="43" spans="2:22" ht="15.6" x14ac:dyDescent="0.3">
      <c r="B43" s="309" t="str">
        <f>IF('Instream-HabRate'!C56&lt;&gt;"", 'Instream-HabRate'!C56,"")</f>
        <v/>
      </c>
      <c r="C43" s="350" t="str">
        <f>'Instream-HabRate'!L56</f>
        <v/>
      </c>
      <c r="D43" s="278" t="str">
        <f>IF('Instream-HabRate'!E56="","",'Instream-HabRate'!E56)</f>
        <v/>
      </c>
      <c r="E43" s="278" t="str">
        <f>IF('Instream-HabRate'!F56="","",'Instream-HabRate'!F56)</f>
        <v/>
      </c>
      <c r="F43" s="278" t="str">
        <f>IF('Instream-HabRate'!G56="","",'Instream-HabRate'!G56)</f>
        <v/>
      </c>
      <c r="G43" s="278" t="str">
        <f>IF('Instream-HabRate'!H56="","",'Instream-HabRate'!H56)</f>
        <v/>
      </c>
      <c r="H43" s="277" t="str">
        <f>IF('Instream-HabRate'!M56="","",IF($D43="","",'Instream-HabRate'!M56))</f>
        <v/>
      </c>
      <c r="I43" s="277" t="str">
        <f>IF('Instream-HabRate'!N56="","",IF($D43="","",'Instream-HabRate'!N56))</f>
        <v/>
      </c>
      <c r="J43" s="277" t="str">
        <f>IF('Instream-HabRate'!O56="","",IF($D43="","",'Instream-HabRate'!O56))</f>
        <v/>
      </c>
      <c r="K43" s="276" t="str">
        <f>IF('Instream-HabRate'!P56="","",IF($E43="","",'Instream-HabRate'!P56))</f>
        <v/>
      </c>
      <c r="L43" s="276" t="str">
        <f>IF('Instream-HabRate'!Q56="","",IF($E43="","",'Instream-HabRate'!Q56))</f>
        <v/>
      </c>
      <c r="M43" s="276" t="str">
        <f>IF('Instream-HabRate'!R56="","",IF($E43="","",'Instream-HabRate'!R56))</f>
        <v/>
      </c>
      <c r="N43" s="276" t="str">
        <f>IF('Instream-HabRate'!S56="","",IF($E43="","",'Instream-HabRate'!S56))</f>
        <v/>
      </c>
      <c r="O43" s="276" t="str">
        <f>IF('Instream-HabRate'!T56="","",IF($E43="","",'Instream-HabRate'!T56))</f>
        <v/>
      </c>
      <c r="P43" s="277" t="str">
        <f>IF('Instream-HabRate'!U56="","",IF($F43="","",'Instream-HabRate'!U56))</f>
        <v/>
      </c>
      <c r="Q43" s="277" t="str">
        <f>IF('Instream-HabRate'!V56="","",IF($F43="","",'Instream-HabRate'!V56))</f>
        <v/>
      </c>
      <c r="R43" s="277" t="str">
        <f>IF('Instream-HabRate'!W56="","",IF($F43="","",'Instream-HabRate'!W56))</f>
        <v/>
      </c>
      <c r="S43" s="276" t="str">
        <f>IF('Instream-HabRate'!X56="","",IF($G43="","",'Instream-HabRate'!X56))</f>
        <v/>
      </c>
      <c r="T43" s="276" t="str">
        <f>IF('Instream-HabRate'!Y56="","",IF($G43="","",'Instream-HabRate'!Y56))</f>
        <v/>
      </c>
      <c r="U43" s="276" t="str">
        <f>IF('Instream-HabRate'!Z56="","",IF($G43="","",'Instream-HabRate'!Z56))</f>
        <v/>
      </c>
      <c r="V43" s="276" t="str">
        <f>IF('Instream-HabRate'!AA56="","",IF($G43="","",'Instream-HabRate'!AA56))</f>
        <v/>
      </c>
    </row>
    <row r="44" spans="2:22" x14ac:dyDescent="0.3">
      <c r="V44" s="49"/>
    </row>
    <row r="45" spans="2:22" s="64" customFormat="1" x14ac:dyDescent="0.3">
      <c r="M45" s="170"/>
      <c r="N45" s="170"/>
      <c r="O45" s="266"/>
      <c r="P45" s="266"/>
      <c r="Q45" s="266"/>
      <c r="R45" s="266"/>
      <c r="S45" s="266"/>
      <c r="T45" s="266"/>
      <c r="U45" s="266"/>
      <c r="V45" s="65"/>
    </row>
    <row r="46" spans="2:22" ht="20.100000000000001" customHeight="1" x14ac:dyDescent="0.3">
      <c r="B46" s="538" t="s">
        <v>392</v>
      </c>
      <c r="C46" s="538"/>
      <c r="D46" s="538"/>
      <c r="E46" s="538"/>
      <c r="F46" s="538"/>
      <c r="G46" s="538"/>
      <c r="H46" s="538"/>
      <c r="I46" s="538"/>
      <c r="J46" s="538"/>
      <c r="K46" s="538"/>
      <c r="L46" s="538"/>
      <c r="M46" s="538"/>
      <c r="N46" s="538"/>
      <c r="O46" s="538"/>
      <c r="P46" s="29"/>
      <c r="Q46" s="29"/>
      <c r="R46" s="29"/>
      <c r="V46" s="49"/>
    </row>
    <row r="47" spans="2:22" ht="36.75" customHeight="1" x14ac:dyDescent="0.3">
      <c r="B47" s="573" t="s">
        <v>179</v>
      </c>
      <c r="C47" s="573"/>
      <c r="D47" s="573"/>
      <c r="E47" s="573"/>
      <c r="F47" s="573"/>
      <c r="G47" s="573"/>
      <c r="H47" s="573"/>
      <c r="I47" s="573"/>
      <c r="J47" s="573"/>
      <c r="K47" s="573"/>
      <c r="L47" s="573"/>
      <c r="M47" s="573"/>
      <c r="N47" s="573"/>
      <c r="O47" s="573"/>
      <c r="P47" s="50"/>
      <c r="Q47" s="32"/>
      <c r="R47" s="29"/>
      <c r="V47" s="49"/>
    </row>
    <row r="48" spans="2:22" ht="62.25" customHeight="1" x14ac:dyDescent="0.3">
      <c r="B48" s="279" t="s">
        <v>103</v>
      </c>
      <c r="C48" s="279" t="s">
        <v>256</v>
      </c>
      <c r="D48" s="280" t="s">
        <v>104</v>
      </c>
      <c r="E48" s="280" t="s">
        <v>105</v>
      </c>
      <c r="F48" s="280" t="s">
        <v>106</v>
      </c>
      <c r="G48" s="281" t="s">
        <v>107</v>
      </c>
      <c r="H48" s="281" t="s">
        <v>270</v>
      </c>
      <c r="I48" s="281" t="s">
        <v>271</v>
      </c>
      <c r="J48" s="280" t="s">
        <v>110</v>
      </c>
      <c r="K48" s="280" t="s">
        <v>111</v>
      </c>
      <c r="L48" s="280" t="s">
        <v>112</v>
      </c>
      <c r="M48" s="281" t="s">
        <v>424</v>
      </c>
      <c r="N48" s="281" t="s">
        <v>429</v>
      </c>
      <c r="O48" s="281" t="s">
        <v>426</v>
      </c>
      <c r="P48" s="50"/>
      <c r="Q48" s="63"/>
      <c r="R48" s="29"/>
      <c r="V48" s="49"/>
    </row>
    <row r="49" spans="2:22" ht="15.6" x14ac:dyDescent="0.3">
      <c r="B49" s="310">
        <f t="shared" ref="B49:B78" si="0">B14</f>
        <v>123577945380201</v>
      </c>
      <c r="C49" s="351">
        <f t="shared" ref="C49:C78" si="1">$C14</f>
        <v>3502</v>
      </c>
      <c r="D49" s="283" t="str">
        <f t="shared" ref="D49:D78" si="2">IF(OR(H14="",Nearstream="",Landscape=""),"",((H14*Instream_Weight+Nearstream*Nearstream_Weight+Landscape*Landscape_Weight)/(Instream_Weight+Nearstream_Weight+Landscape_Weight)))</f>
        <v/>
      </c>
      <c r="E49" s="283" t="str">
        <f t="shared" ref="E49:E78" si="3">IF(OR(I14="",Nearstream="",Landscape=""),"",((I14*Instream_Weight+Nearstream*Nearstream_Weight+Landscape*Landscape_Weight)/(Instream_Weight+Nearstream_Weight+Landscape_Weight)))</f>
        <v/>
      </c>
      <c r="F49" s="283" t="str">
        <f t="shared" ref="F49:F78" si="4">IF(OR(J14="",Nearstream="",Landscape=""),"",((J14*Instream_Weight+Nearstream*Nearstream_Weight+Landscape*Landscape_Weight)/(Instream_Weight+Nearstream_Weight+Landscape_Weight)))</f>
        <v/>
      </c>
      <c r="G49" s="282">
        <f t="shared" ref="G49:G78" si="5">IF(OR(K14="",Nearstream="",Landscape=""),"",((K14*Instream_Weight+Nearstream*Nearstream_Weight+Landscape*Landscape_Weight)/(Instream_Weight+Nearstream_Weight+Landscape_Weight)))</f>
        <v>2.4</v>
      </c>
      <c r="H49" s="282">
        <f t="shared" ref="H49:H78" si="6">IF(OR(L14="",Nearstream="",Landscape=""),"",((AVERAGE(L14,N14)*Instream_Weight+Nearstream*Nearstream_Weight+Landscape*Landscape_Weight)/(Instream_Weight+Nearstream_Weight+Landscape_Weight)))</f>
        <v>2.4</v>
      </c>
      <c r="I49" s="282">
        <f t="shared" ref="I49:I78" si="7">IF(OR(M14="",Nearstream="",Landscape=""),"",((AVERAGE(M14,O14)*Instream_Weight+Nearstream*Nearstream_Weight+Landscape*Landscape_Weight)/(Instream_Weight+Nearstream_Weight+Landscape_Weight)))</f>
        <v>2.6</v>
      </c>
      <c r="J49" s="283">
        <f t="shared" ref="J49:J78" si="8">IF(OR(P14="",Nearstream="",Landscape=""),"",((P14*Instream_Weight+Nearstream*Nearstream_Weight+Landscape*Landscape_Weight)/(Instream_Weight+Nearstream_Weight+Landscape_Weight)))</f>
        <v>2.4</v>
      </c>
      <c r="K49" s="283">
        <f t="shared" ref="K49:K78" si="9">IF(OR(Q14="",Nearstream="",Landscape=""),"",((Q14*Instream_Weight+Nearstream*Nearstream_Weight+Landscape*Landscape_Weight)/(Instream_Weight+Nearstream_Weight+Landscape_Weight)))</f>
        <v>2</v>
      </c>
      <c r="L49" s="283">
        <f t="shared" ref="L49:L78" si="10">IF(OR(R14="",Nearstream="",Landscape=""),"",((R14*Instream_Weight+Nearstream*Nearstream_Weight+Landscape*Landscape_Weight)/(Instream_Weight+Nearstream_Weight+Landscape_Weight)))</f>
        <v>2</v>
      </c>
      <c r="M49" s="282">
        <f t="shared" ref="M49:M78" si="11">IF(OR(S14="",Nearstream="",Landscape=""),"",((S14*Instream_Weight+Nearstream*Nearstream_Weight+Landscape*Landscape_Weight)/(Instream_Weight+Nearstream_Weight+Landscape_Weight)))</f>
        <v>2.4</v>
      </c>
      <c r="N49" s="282">
        <f t="shared" ref="N49:N78" si="12">IF(OR(T14="",Nearstream="",Landscape=""),"",((AVERAGE(T14,V14)*Instream_Weight+Nearstream*Nearstream_Weight+Landscape*Landscape_Weight)/(Instream_Weight+Nearstream_Weight+Landscape_Weight)))</f>
        <v>2.4</v>
      </c>
      <c r="O49" s="282">
        <f t="shared" ref="O49:O78" si="13">IF(OR(U14="",Nearstream="",Landscape=""),"",((U14*Instream_Weight+Nearstream*Nearstream_Weight+Landscape*Landscape_Weight)/(Instream_Weight+Nearstream_Weight+Landscape_Weight)))</f>
        <v>2.4</v>
      </c>
      <c r="P49" s="50"/>
      <c r="Q49" s="32"/>
      <c r="R49" s="29"/>
      <c r="V49" s="49"/>
    </row>
    <row r="50" spans="2:22" ht="15.6" x14ac:dyDescent="0.3">
      <c r="B50" s="310">
        <f t="shared" si="0"/>
        <v>123577945380202</v>
      </c>
      <c r="C50" s="351">
        <f t="shared" si="1"/>
        <v>1907</v>
      </c>
      <c r="D50" s="283" t="str">
        <f t="shared" si="2"/>
        <v/>
      </c>
      <c r="E50" s="283" t="str">
        <f t="shared" si="3"/>
        <v/>
      </c>
      <c r="F50" s="283" t="str">
        <f t="shared" si="4"/>
        <v/>
      </c>
      <c r="G50" s="282">
        <f t="shared" si="5"/>
        <v>2.8</v>
      </c>
      <c r="H50" s="282">
        <f t="shared" si="6"/>
        <v>2.4</v>
      </c>
      <c r="I50" s="282">
        <f t="shared" si="7"/>
        <v>2.6</v>
      </c>
      <c r="J50" s="283">
        <f t="shared" si="8"/>
        <v>2.4</v>
      </c>
      <c r="K50" s="283">
        <f t="shared" si="9"/>
        <v>2</v>
      </c>
      <c r="L50" s="283">
        <f t="shared" si="10"/>
        <v>2</v>
      </c>
      <c r="M50" s="282">
        <f t="shared" si="11"/>
        <v>2.4</v>
      </c>
      <c r="N50" s="282">
        <f t="shared" si="12"/>
        <v>2.4</v>
      </c>
      <c r="O50" s="282">
        <f t="shared" si="13"/>
        <v>2.4</v>
      </c>
      <c r="P50" s="29"/>
      <c r="Q50" s="29"/>
      <c r="R50" s="29"/>
    </row>
    <row r="51" spans="2:22" ht="15.6" x14ac:dyDescent="0.3">
      <c r="B51" s="310">
        <f t="shared" si="0"/>
        <v>123577945380203</v>
      </c>
      <c r="C51" s="351">
        <f t="shared" si="1"/>
        <v>3971</v>
      </c>
      <c r="D51" s="283" t="str">
        <f t="shared" si="2"/>
        <v/>
      </c>
      <c r="E51" s="283" t="str">
        <f t="shared" si="3"/>
        <v/>
      </c>
      <c r="F51" s="283" t="str">
        <f t="shared" si="4"/>
        <v/>
      </c>
      <c r="G51" s="282">
        <f t="shared" si="5"/>
        <v>2.8</v>
      </c>
      <c r="H51" s="282">
        <f t="shared" si="6"/>
        <v>2.4</v>
      </c>
      <c r="I51" s="282">
        <f t="shared" si="7"/>
        <v>2.6</v>
      </c>
      <c r="J51" s="283" t="str">
        <f t="shared" si="8"/>
        <v/>
      </c>
      <c r="K51" s="283" t="str">
        <f t="shared" si="9"/>
        <v/>
      </c>
      <c r="L51" s="283" t="str">
        <f t="shared" si="10"/>
        <v/>
      </c>
      <c r="M51" s="282">
        <f t="shared" si="11"/>
        <v>2.4</v>
      </c>
      <c r="N51" s="282">
        <f t="shared" si="12"/>
        <v>2.4</v>
      </c>
      <c r="O51" s="282">
        <f t="shared" si="13"/>
        <v>2.4</v>
      </c>
      <c r="P51" s="29"/>
      <c r="Q51" s="29"/>
      <c r="R51" s="29"/>
    </row>
    <row r="52" spans="2:22" ht="15.6" x14ac:dyDescent="0.3">
      <c r="B52" s="310">
        <f t="shared" si="0"/>
        <v>123580645381001</v>
      </c>
      <c r="C52" s="351">
        <f t="shared" si="1"/>
        <v>6862</v>
      </c>
      <c r="D52" s="283" t="str">
        <f t="shared" si="2"/>
        <v/>
      </c>
      <c r="E52" s="283" t="str">
        <f t="shared" si="3"/>
        <v/>
      </c>
      <c r="F52" s="283" t="str">
        <f t="shared" si="4"/>
        <v/>
      </c>
      <c r="G52" s="282">
        <f t="shared" si="5"/>
        <v>2.4</v>
      </c>
      <c r="H52" s="282">
        <f t="shared" si="6"/>
        <v>2.4</v>
      </c>
      <c r="I52" s="282">
        <f t="shared" si="7"/>
        <v>2.6</v>
      </c>
      <c r="J52" s="283">
        <f t="shared" si="8"/>
        <v>2.4</v>
      </c>
      <c r="K52" s="283">
        <f t="shared" si="9"/>
        <v>2</v>
      </c>
      <c r="L52" s="283">
        <f t="shared" si="10"/>
        <v>2</v>
      </c>
      <c r="M52" s="282">
        <f t="shared" si="11"/>
        <v>2.4</v>
      </c>
      <c r="N52" s="282">
        <f t="shared" si="12"/>
        <v>2.4</v>
      </c>
      <c r="O52" s="282">
        <f t="shared" si="13"/>
        <v>2.4</v>
      </c>
    </row>
    <row r="53" spans="2:22" ht="15.6" x14ac:dyDescent="0.3">
      <c r="B53" s="310">
        <f t="shared" si="0"/>
        <v>123538845350501</v>
      </c>
      <c r="C53" s="351">
        <f t="shared" si="1"/>
        <v>2992</v>
      </c>
      <c r="D53" s="283" t="str">
        <f t="shared" si="2"/>
        <v/>
      </c>
      <c r="E53" s="283" t="str">
        <f t="shared" si="3"/>
        <v/>
      </c>
      <c r="F53" s="283" t="str">
        <f t="shared" si="4"/>
        <v/>
      </c>
      <c r="G53" s="282">
        <f t="shared" si="5"/>
        <v>2</v>
      </c>
      <c r="H53" s="282">
        <f t="shared" si="6"/>
        <v>2.4</v>
      </c>
      <c r="I53" s="282">
        <f t="shared" si="7"/>
        <v>2.6</v>
      </c>
      <c r="J53" s="283">
        <f t="shared" si="8"/>
        <v>2.4</v>
      </c>
      <c r="K53" s="283">
        <f t="shared" si="9"/>
        <v>2</v>
      </c>
      <c r="L53" s="283">
        <f t="shared" si="10"/>
        <v>2</v>
      </c>
      <c r="M53" s="282">
        <f t="shared" si="11"/>
        <v>2.8</v>
      </c>
      <c r="N53" s="282">
        <f t="shared" si="12"/>
        <v>2.8</v>
      </c>
      <c r="O53" s="282">
        <f t="shared" si="13"/>
        <v>2.8</v>
      </c>
    </row>
    <row r="54" spans="2:22" ht="15.6" x14ac:dyDescent="0.3">
      <c r="B54" s="310">
        <f t="shared" si="0"/>
        <v>123605145416502</v>
      </c>
      <c r="C54" s="351">
        <f t="shared" si="1"/>
        <v>32397</v>
      </c>
      <c r="D54" s="283">
        <f t="shared" si="2"/>
        <v>2.8</v>
      </c>
      <c r="E54" s="283">
        <f t="shared" si="3"/>
        <v>2.4</v>
      </c>
      <c r="F54" s="283">
        <f t="shared" si="4"/>
        <v>2.4</v>
      </c>
      <c r="G54" s="282">
        <f t="shared" si="5"/>
        <v>2.4</v>
      </c>
      <c r="H54" s="282">
        <f t="shared" si="6"/>
        <v>2.4</v>
      </c>
      <c r="I54" s="282">
        <f t="shared" si="7"/>
        <v>2.8</v>
      </c>
      <c r="J54" s="283">
        <f t="shared" si="8"/>
        <v>2.8</v>
      </c>
      <c r="K54" s="283">
        <f t="shared" si="9"/>
        <v>2.4</v>
      </c>
      <c r="L54" s="283">
        <f t="shared" si="10"/>
        <v>2.4</v>
      </c>
      <c r="M54" s="282">
        <f t="shared" si="11"/>
        <v>2.4</v>
      </c>
      <c r="N54" s="282">
        <f t="shared" si="12"/>
        <v>2.4</v>
      </c>
      <c r="O54" s="282">
        <f t="shared" si="13"/>
        <v>2.4</v>
      </c>
      <c r="P54" s="50"/>
      <c r="Q54" s="32"/>
      <c r="R54" s="29"/>
      <c r="V54" s="49"/>
    </row>
    <row r="55" spans="2:22" ht="15.6" x14ac:dyDescent="0.3">
      <c r="B55" s="310">
        <f t="shared" si="0"/>
        <v>123605145416503</v>
      </c>
      <c r="C55" s="351">
        <f t="shared" si="1"/>
        <v>12404</v>
      </c>
      <c r="D55" s="283">
        <f t="shared" si="2"/>
        <v>2.8</v>
      </c>
      <c r="E55" s="283">
        <f t="shared" si="3"/>
        <v>2.4</v>
      </c>
      <c r="F55" s="283">
        <f t="shared" si="4"/>
        <v>2.8</v>
      </c>
      <c r="G55" s="282">
        <f t="shared" si="5"/>
        <v>2.4</v>
      </c>
      <c r="H55" s="282">
        <f t="shared" si="6"/>
        <v>2.8</v>
      </c>
      <c r="I55" s="282">
        <f t="shared" si="7"/>
        <v>2.8</v>
      </c>
      <c r="J55" s="283">
        <f t="shared" si="8"/>
        <v>2.8</v>
      </c>
      <c r="K55" s="283">
        <f t="shared" si="9"/>
        <v>2.4</v>
      </c>
      <c r="L55" s="283">
        <f t="shared" si="10"/>
        <v>2</v>
      </c>
      <c r="M55" s="282">
        <f t="shared" si="11"/>
        <v>2.4</v>
      </c>
      <c r="N55" s="282">
        <f t="shared" si="12"/>
        <v>2.4</v>
      </c>
      <c r="O55" s="282">
        <f t="shared" si="13"/>
        <v>2.4</v>
      </c>
      <c r="P55" s="29"/>
      <c r="Q55" s="29"/>
      <c r="R55" s="29"/>
    </row>
    <row r="56" spans="2:22" ht="15.6" x14ac:dyDescent="0.3">
      <c r="B56" s="310">
        <f t="shared" si="0"/>
        <v>123605145416504</v>
      </c>
      <c r="C56" s="351">
        <f t="shared" si="1"/>
        <v>52314</v>
      </c>
      <c r="D56" s="283">
        <f t="shared" si="2"/>
        <v>2.8</v>
      </c>
      <c r="E56" s="283">
        <f t="shared" si="3"/>
        <v>2.4</v>
      </c>
      <c r="F56" s="283">
        <f t="shared" si="4"/>
        <v>2.8</v>
      </c>
      <c r="G56" s="282">
        <f t="shared" si="5"/>
        <v>2.8</v>
      </c>
      <c r="H56" s="282">
        <f t="shared" si="6"/>
        <v>2.8</v>
      </c>
      <c r="I56" s="282">
        <f t="shared" si="7"/>
        <v>2.8</v>
      </c>
      <c r="J56" s="283">
        <f t="shared" si="8"/>
        <v>2.8</v>
      </c>
      <c r="K56" s="283">
        <f t="shared" si="9"/>
        <v>2.4</v>
      </c>
      <c r="L56" s="283">
        <f t="shared" si="10"/>
        <v>2</v>
      </c>
      <c r="M56" s="282">
        <f t="shared" si="11"/>
        <v>2.4</v>
      </c>
      <c r="N56" s="282">
        <f t="shared" si="12"/>
        <v>2.4</v>
      </c>
      <c r="O56" s="282">
        <f t="shared" si="13"/>
        <v>2.4</v>
      </c>
      <c r="P56" s="29"/>
      <c r="Q56" s="29"/>
      <c r="R56" s="29"/>
    </row>
    <row r="57" spans="2:22" ht="15.6" x14ac:dyDescent="0.3">
      <c r="B57" s="310">
        <f t="shared" si="0"/>
        <v>123605145416505</v>
      </c>
      <c r="C57" s="351">
        <f t="shared" si="1"/>
        <v>199559</v>
      </c>
      <c r="D57" s="283">
        <f t="shared" si="2"/>
        <v>2.8</v>
      </c>
      <c r="E57" s="283">
        <f t="shared" si="3"/>
        <v>2.4</v>
      </c>
      <c r="F57" s="283">
        <f t="shared" si="4"/>
        <v>2.4</v>
      </c>
      <c r="G57" s="282">
        <f t="shared" si="5"/>
        <v>2.8</v>
      </c>
      <c r="H57" s="282">
        <f t="shared" si="6"/>
        <v>2.4</v>
      </c>
      <c r="I57" s="282">
        <f t="shared" si="7"/>
        <v>2.8</v>
      </c>
      <c r="J57" s="283">
        <f t="shared" si="8"/>
        <v>2.8</v>
      </c>
      <c r="K57" s="283">
        <f t="shared" si="9"/>
        <v>2</v>
      </c>
      <c r="L57" s="283">
        <f t="shared" si="10"/>
        <v>2</v>
      </c>
      <c r="M57" s="282">
        <f t="shared" si="11"/>
        <v>2.4</v>
      </c>
      <c r="N57" s="282">
        <f t="shared" si="12"/>
        <v>2.4</v>
      </c>
      <c r="O57" s="282">
        <f t="shared" si="13"/>
        <v>2.4</v>
      </c>
    </row>
    <row r="58" spans="2:22" ht="15.6" x14ac:dyDescent="0.3">
      <c r="B58" s="310">
        <f t="shared" si="0"/>
        <v>123605145416506</v>
      </c>
      <c r="C58" s="351">
        <f t="shared" si="1"/>
        <v>13135</v>
      </c>
      <c r="D58" s="283">
        <f t="shared" si="2"/>
        <v>2.8</v>
      </c>
      <c r="E58" s="283">
        <f t="shared" si="3"/>
        <v>2.4</v>
      </c>
      <c r="F58" s="283">
        <f t="shared" si="4"/>
        <v>2.8</v>
      </c>
      <c r="G58" s="282">
        <f t="shared" si="5"/>
        <v>2.4</v>
      </c>
      <c r="H58" s="282">
        <f t="shared" si="6"/>
        <v>2.8</v>
      </c>
      <c r="I58" s="282">
        <f t="shared" si="7"/>
        <v>2.8</v>
      </c>
      <c r="J58" s="283">
        <f t="shared" si="8"/>
        <v>2.8</v>
      </c>
      <c r="K58" s="283">
        <f t="shared" si="9"/>
        <v>2</v>
      </c>
      <c r="L58" s="283">
        <f t="shared" si="10"/>
        <v>2</v>
      </c>
      <c r="M58" s="282">
        <f t="shared" si="11"/>
        <v>2.4</v>
      </c>
      <c r="N58" s="282">
        <f t="shared" si="12"/>
        <v>2.4</v>
      </c>
      <c r="O58" s="282">
        <f t="shared" si="13"/>
        <v>2.4</v>
      </c>
    </row>
    <row r="59" spans="2:22" ht="15.6" x14ac:dyDescent="0.3">
      <c r="B59" s="310">
        <f t="shared" si="0"/>
        <v>123605145416507</v>
      </c>
      <c r="C59" s="351">
        <f t="shared" si="1"/>
        <v>20650</v>
      </c>
      <c r="D59" s="283">
        <f t="shared" si="2"/>
        <v>2.8</v>
      </c>
      <c r="E59" s="283">
        <f t="shared" si="3"/>
        <v>2.4</v>
      </c>
      <c r="F59" s="283">
        <f t="shared" si="4"/>
        <v>2.8</v>
      </c>
      <c r="G59" s="282">
        <f t="shared" si="5"/>
        <v>2.8</v>
      </c>
      <c r="H59" s="282">
        <f t="shared" si="6"/>
        <v>2.6</v>
      </c>
      <c r="I59" s="282">
        <f t="shared" si="7"/>
        <v>2.8</v>
      </c>
      <c r="J59" s="283">
        <f t="shared" si="8"/>
        <v>2.4</v>
      </c>
      <c r="K59" s="283">
        <f t="shared" si="9"/>
        <v>2</v>
      </c>
      <c r="L59" s="283">
        <f t="shared" si="10"/>
        <v>2</v>
      </c>
      <c r="M59" s="282">
        <f t="shared" si="11"/>
        <v>2.4</v>
      </c>
      <c r="N59" s="282">
        <f t="shared" si="12"/>
        <v>2.4</v>
      </c>
      <c r="O59" s="282">
        <f t="shared" si="13"/>
        <v>2.4</v>
      </c>
      <c r="P59" s="50"/>
      <c r="Q59" s="32"/>
      <c r="R59" s="29"/>
      <c r="V59" s="49"/>
    </row>
    <row r="60" spans="2:22" ht="15.6" x14ac:dyDescent="0.3">
      <c r="B60" s="310">
        <f t="shared" si="0"/>
        <v>123605145416508</v>
      </c>
      <c r="C60" s="351">
        <f t="shared" si="1"/>
        <v>14109</v>
      </c>
      <c r="D60" s="283">
        <f t="shared" si="2"/>
        <v>2.8</v>
      </c>
      <c r="E60" s="283">
        <f t="shared" si="3"/>
        <v>2.4</v>
      </c>
      <c r="F60" s="283">
        <f t="shared" si="4"/>
        <v>2.8</v>
      </c>
      <c r="G60" s="282">
        <f t="shared" si="5"/>
        <v>2.8</v>
      </c>
      <c r="H60" s="282">
        <f t="shared" si="6"/>
        <v>2.6</v>
      </c>
      <c r="I60" s="282">
        <f t="shared" si="7"/>
        <v>2.8</v>
      </c>
      <c r="J60" s="283">
        <f t="shared" si="8"/>
        <v>2.8</v>
      </c>
      <c r="K60" s="283">
        <f t="shared" si="9"/>
        <v>2.8</v>
      </c>
      <c r="L60" s="283">
        <f t="shared" si="10"/>
        <v>2</v>
      </c>
      <c r="M60" s="282">
        <f t="shared" si="11"/>
        <v>2.4</v>
      </c>
      <c r="N60" s="282">
        <f t="shared" si="12"/>
        <v>2.4</v>
      </c>
      <c r="O60" s="282">
        <f t="shared" si="13"/>
        <v>2.4</v>
      </c>
      <c r="P60" s="29"/>
      <c r="Q60" s="29"/>
      <c r="R60" s="29"/>
    </row>
    <row r="61" spans="2:22" ht="15.6" x14ac:dyDescent="0.3">
      <c r="B61" s="310">
        <f t="shared" si="0"/>
        <v>123605145416509</v>
      </c>
      <c r="C61" s="351">
        <f t="shared" si="1"/>
        <v>9412</v>
      </c>
      <c r="D61" s="283">
        <f t="shared" si="2"/>
        <v>2.8</v>
      </c>
      <c r="E61" s="283">
        <f t="shared" si="3"/>
        <v>2.4</v>
      </c>
      <c r="F61" s="283">
        <f t="shared" si="4"/>
        <v>2.8</v>
      </c>
      <c r="G61" s="282">
        <f t="shared" si="5"/>
        <v>2.4</v>
      </c>
      <c r="H61" s="282">
        <f t="shared" si="6"/>
        <v>2.6</v>
      </c>
      <c r="I61" s="282">
        <f t="shared" si="7"/>
        <v>2.8</v>
      </c>
      <c r="J61" s="283">
        <f t="shared" si="8"/>
        <v>2.4</v>
      </c>
      <c r="K61" s="283">
        <f t="shared" si="9"/>
        <v>2</v>
      </c>
      <c r="L61" s="283">
        <f t="shared" si="10"/>
        <v>2</v>
      </c>
      <c r="M61" s="282">
        <f t="shared" si="11"/>
        <v>2.4</v>
      </c>
      <c r="N61" s="282">
        <f t="shared" si="12"/>
        <v>2.4</v>
      </c>
      <c r="O61" s="282">
        <f t="shared" si="13"/>
        <v>2.4</v>
      </c>
      <c r="P61" s="29"/>
      <c r="Q61" s="29"/>
      <c r="R61" s="29"/>
    </row>
    <row r="62" spans="2:22" ht="15.6" x14ac:dyDescent="0.3">
      <c r="B62" s="310">
        <f t="shared" si="0"/>
        <v>123605145416510</v>
      </c>
      <c r="C62" s="351">
        <f t="shared" si="1"/>
        <v>8891</v>
      </c>
      <c r="D62" s="283">
        <f t="shared" si="2"/>
        <v>2.8</v>
      </c>
      <c r="E62" s="283">
        <f t="shared" si="3"/>
        <v>2.4</v>
      </c>
      <c r="F62" s="283">
        <f t="shared" si="4"/>
        <v>2.8</v>
      </c>
      <c r="G62" s="282">
        <f t="shared" si="5"/>
        <v>2.4</v>
      </c>
      <c r="H62" s="282">
        <f t="shared" si="6"/>
        <v>2.6</v>
      </c>
      <c r="I62" s="282">
        <f t="shared" si="7"/>
        <v>2.8</v>
      </c>
      <c r="J62" s="283">
        <f t="shared" si="8"/>
        <v>2.8</v>
      </c>
      <c r="K62" s="283">
        <f t="shared" si="9"/>
        <v>2.4</v>
      </c>
      <c r="L62" s="283">
        <f t="shared" si="10"/>
        <v>2</v>
      </c>
      <c r="M62" s="282">
        <f t="shared" si="11"/>
        <v>2.4</v>
      </c>
      <c r="N62" s="282">
        <f t="shared" si="12"/>
        <v>2.4</v>
      </c>
      <c r="O62" s="282">
        <f t="shared" si="13"/>
        <v>2.4</v>
      </c>
    </row>
    <row r="63" spans="2:22" ht="15.6" x14ac:dyDescent="0.3">
      <c r="B63" s="310">
        <f t="shared" si="0"/>
        <v>123605145416511</v>
      </c>
      <c r="C63" s="351">
        <f t="shared" si="1"/>
        <v>9134</v>
      </c>
      <c r="D63" s="283" t="str">
        <f t="shared" si="2"/>
        <v/>
      </c>
      <c r="E63" s="283" t="str">
        <f t="shared" si="3"/>
        <v/>
      </c>
      <c r="F63" s="283" t="str">
        <f t="shared" si="4"/>
        <v/>
      </c>
      <c r="G63" s="282">
        <f t="shared" si="5"/>
        <v>2.4</v>
      </c>
      <c r="H63" s="282">
        <f t="shared" si="6"/>
        <v>2.4</v>
      </c>
      <c r="I63" s="282">
        <f t="shared" si="7"/>
        <v>2.6</v>
      </c>
      <c r="J63" s="283">
        <f t="shared" si="8"/>
        <v>2</v>
      </c>
      <c r="K63" s="283">
        <f t="shared" si="9"/>
        <v>2</v>
      </c>
      <c r="L63" s="283">
        <f t="shared" si="10"/>
        <v>2</v>
      </c>
      <c r="M63" s="282">
        <f t="shared" si="11"/>
        <v>2.4</v>
      </c>
      <c r="N63" s="282">
        <f t="shared" si="12"/>
        <v>2.4</v>
      </c>
      <c r="O63" s="282">
        <f t="shared" si="13"/>
        <v>2.4</v>
      </c>
    </row>
    <row r="64" spans="2:22" ht="15.6" x14ac:dyDescent="0.3">
      <c r="B64" s="310">
        <f t="shared" si="0"/>
        <v>123558145368201</v>
      </c>
      <c r="C64" s="351">
        <f t="shared" si="1"/>
        <v>1963</v>
      </c>
      <c r="D64" s="283" t="str">
        <f t="shared" si="2"/>
        <v/>
      </c>
      <c r="E64" s="283" t="str">
        <f t="shared" si="3"/>
        <v/>
      </c>
      <c r="F64" s="283" t="str">
        <f t="shared" si="4"/>
        <v/>
      </c>
      <c r="G64" s="282">
        <f t="shared" si="5"/>
        <v>2.4</v>
      </c>
      <c r="H64" s="282">
        <f t="shared" si="6"/>
        <v>2.4</v>
      </c>
      <c r="I64" s="282">
        <f t="shared" si="7"/>
        <v>2.6</v>
      </c>
      <c r="J64" s="283">
        <f t="shared" si="8"/>
        <v>2.4</v>
      </c>
      <c r="K64" s="283">
        <f t="shared" si="9"/>
        <v>2</v>
      </c>
      <c r="L64" s="283">
        <f t="shared" si="10"/>
        <v>2</v>
      </c>
      <c r="M64" s="282">
        <f t="shared" si="11"/>
        <v>2.4</v>
      </c>
      <c r="N64" s="282">
        <f t="shared" si="12"/>
        <v>2.4</v>
      </c>
      <c r="O64" s="282">
        <f t="shared" si="13"/>
        <v>2.4</v>
      </c>
      <c r="P64" s="50"/>
      <c r="Q64" s="32"/>
      <c r="R64" s="29"/>
      <c r="V64" s="49"/>
    </row>
    <row r="65" spans="2:22" ht="15.6" x14ac:dyDescent="0.3">
      <c r="B65" s="310">
        <f t="shared" si="0"/>
        <v>123515145361401</v>
      </c>
      <c r="C65" s="351">
        <f t="shared" si="1"/>
        <v>3357</v>
      </c>
      <c r="D65" s="283" t="str">
        <f t="shared" si="2"/>
        <v/>
      </c>
      <c r="E65" s="283" t="str">
        <f t="shared" si="3"/>
        <v/>
      </c>
      <c r="F65" s="283" t="str">
        <f t="shared" si="4"/>
        <v/>
      </c>
      <c r="G65" s="282">
        <f t="shared" si="5"/>
        <v>2.8</v>
      </c>
      <c r="H65" s="282">
        <f t="shared" si="6"/>
        <v>2.6</v>
      </c>
      <c r="I65" s="282">
        <f t="shared" si="7"/>
        <v>2.6</v>
      </c>
      <c r="J65" s="283">
        <f t="shared" si="8"/>
        <v>2.4</v>
      </c>
      <c r="K65" s="283">
        <f t="shared" si="9"/>
        <v>2</v>
      </c>
      <c r="L65" s="283">
        <f t="shared" si="10"/>
        <v>2</v>
      </c>
      <c r="M65" s="282">
        <f t="shared" si="11"/>
        <v>2</v>
      </c>
      <c r="N65" s="282">
        <f t="shared" si="12"/>
        <v>2</v>
      </c>
      <c r="O65" s="282">
        <f t="shared" si="13"/>
        <v>2</v>
      </c>
      <c r="P65" s="29"/>
      <c r="Q65" s="29"/>
      <c r="R65" s="29"/>
    </row>
    <row r="66" spans="2:22" ht="15.6" x14ac:dyDescent="0.3">
      <c r="B66" s="310">
        <f t="shared" si="0"/>
        <v>123547445360901</v>
      </c>
      <c r="C66" s="351">
        <f t="shared" si="1"/>
        <v>6251</v>
      </c>
      <c r="D66" s="283" t="str">
        <f t="shared" si="2"/>
        <v/>
      </c>
      <c r="E66" s="283" t="str">
        <f t="shared" si="3"/>
        <v/>
      </c>
      <c r="F66" s="283" t="str">
        <f t="shared" si="4"/>
        <v/>
      </c>
      <c r="G66" s="282">
        <f t="shared" si="5"/>
        <v>2.8</v>
      </c>
      <c r="H66" s="282">
        <f t="shared" si="6"/>
        <v>2.6</v>
      </c>
      <c r="I66" s="282">
        <f t="shared" si="7"/>
        <v>2.8</v>
      </c>
      <c r="J66" s="283">
        <f t="shared" si="8"/>
        <v>2.4</v>
      </c>
      <c r="K66" s="283">
        <f t="shared" si="9"/>
        <v>2.8</v>
      </c>
      <c r="L66" s="283">
        <f t="shared" si="10"/>
        <v>2</v>
      </c>
      <c r="M66" s="282">
        <f t="shared" si="11"/>
        <v>2.4</v>
      </c>
      <c r="N66" s="282">
        <f t="shared" si="12"/>
        <v>2.4</v>
      </c>
      <c r="O66" s="282">
        <f t="shared" si="13"/>
        <v>2.4</v>
      </c>
      <c r="P66" s="29"/>
      <c r="Q66" s="29"/>
      <c r="R66" s="29"/>
    </row>
    <row r="67" spans="2:22" ht="15.6" x14ac:dyDescent="0.3">
      <c r="B67" s="310">
        <f t="shared" si="0"/>
        <v>123547445360902</v>
      </c>
      <c r="C67" s="351">
        <f t="shared" si="1"/>
        <v>1888</v>
      </c>
      <c r="D67" s="283" t="str">
        <f t="shared" si="2"/>
        <v/>
      </c>
      <c r="E67" s="283" t="str">
        <f t="shared" si="3"/>
        <v/>
      </c>
      <c r="F67" s="283" t="str">
        <f t="shared" si="4"/>
        <v/>
      </c>
      <c r="G67" s="282">
        <f t="shared" si="5"/>
        <v>2.8</v>
      </c>
      <c r="H67" s="282">
        <f t="shared" si="6"/>
        <v>2.6</v>
      </c>
      <c r="I67" s="282">
        <f t="shared" si="7"/>
        <v>2.8</v>
      </c>
      <c r="J67" s="283">
        <f t="shared" si="8"/>
        <v>2.4</v>
      </c>
      <c r="K67" s="283">
        <f t="shared" si="9"/>
        <v>2</v>
      </c>
      <c r="L67" s="283">
        <f t="shared" si="10"/>
        <v>2</v>
      </c>
      <c r="M67" s="282">
        <f t="shared" si="11"/>
        <v>2.8</v>
      </c>
      <c r="N67" s="282">
        <f t="shared" si="12"/>
        <v>2.8</v>
      </c>
      <c r="O67" s="282">
        <f t="shared" si="13"/>
        <v>2.8</v>
      </c>
    </row>
    <row r="68" spans="2:22" ht="15.6" x14ac:dyDescent="0.3">
      <c r="B68" s="310">
        <f t="shared" si="0"/>
        <v>123562545372801</v>
      </c>
      <c r="C68" s="351">
        <f t="shared" si="1"/>
        <v>1440</v>
      </c>
      <c r="D68" s="283" t="str">
        <f t="shared" si="2"/>
        <v/>
      </c>
      <c r="E68" s="283" t="str">
        <f t="shared" si="3"/>
        <v/>
      </c>
      <c r="F68" s="283" t="str">
        <f t="shared" si="4"/>
        <v/>
      </c>
      <c r="G68" s="282">
        <f t="shared" si="5"/>
        <v>2.8</v>
      </c>
      <c r="H68" s="282">
        <f t="shared" si="6"/>
        <v>2.4</v>
      </c>
      <c r="I68" s="282">
        <f t="shared" si="7"/>
        <v>2.6</v>
      </c>
      <c r="J68" s="283">
        <f t="shared" si="8"/>
        <v>2.8</v>
      </c>
      <c r="K68" s="283">
        <f t="shared" si="9"/>
        <v>2</v>
      </c>
      <c r="L68" s="283">
        <f t="shared" si="10"/>
        <v>2</v>
      </c>
      <c r="M68" s="282">
        <f t="shared" si="11"/>
        <v>2.8</v>
      </c>
      <c r="N68" s="282">
        <f t="shared" si="12"/>
        <v>2.8</v>
      </c>
      <c r="O68" s="282">
        <f t="shared" si="13"/>
        <v>2.8</v>
      </c>
    </row>
    <row r="69" spans="2:22" ht="15.6" x14ac:dyDescent="0.3">
      <c r="B69" s="310">
        <f t="shared" si="0"/>
        <v>123562545372802</v>
      </c>
      <c r="C69" s="351">
        <f t="shared" si="1"/>
        <v>1034</v>
      </c>
      <c r="D69" s="283" t="str">
        <f t="shared" si="2"/>
        <v/>
      </c>
      <c r="E69" s="283" t="str">
        <f t="shared" si="3"/>
        <v/>
      </c>
      <c r="F69" s="283" t="str">
        <f t="shared" si="4"/>
        <v/>
      </c>
      <c r="G69" s="282">
        <f t="shared" si="5"/>
        <v>2.8</v>
      </c>
      <c r="H69" s="282">
        <f t="shared" si="6"/>
        <v>2.6</v>
      </c>
      <c r="I69" s="282">
        <f t="shared" si="7"/>
        <v>2.6</v>
      </c>
      <c r="J69" s="283">
        <f t="shared" si="8"/>
        <v>2.4</v>
      </c>
      <c r="K69" s="283">
        <f t="shared" si="9"/>
        <v>2.4</v>
      </c>
      <c r="L69" s="283">
        <f t="shared" si="10"/>
        <v>2.4</v>
      </c>
      <c r="M69" s="282">
        <f t="shared" si="11"/>
        <v>2.8</v>
      </c>
      <c r="N69" s="282">
        <f t="shared" si="12"/>
        <v>2.8</v>
      </c>
      <c r="O69" s="282">
        <f t="shared" si="13"/>
        <v>2.8</v>
      </c>
      <c r="P69" s="50"/>
      <c r="Q69" s="32"/>
      <c r="R69" s="29"/>
      <c r="V69" s="49"/>
    </row>
    <row r="70" spans="2:22" ht="15.6" x14ac:dyDescent="0.3">
      <c r="B70" s="310">
        <f t="shared" si="0"/>
        <v>123538845350502</v>
      </c>
      <c r="C70" s="351">
        <f t="shared" si="1"/>
        <v>800</v>
      </c>
      <c r="D70" s="283" t="str">
        <f t="shared" si="2"/>
        <v/>
      </c>
      <c r="E70" s="283" t="str">
        <f t="shared" si="3"/>
        <v/>
      </c>
      <c r="F70" s="283" t="str">
        <f t="shared" si="4"/>
        <v/>
      </c>
      <c r="G70" s="282" t="str">
        <f t="shared" si="5"/>
        <v/>
      </c>
      <c r="H70" s="282" t="str">
        <f t="shared" si="6"/>
        <v/>
      </c>
      <c r="I70" s="282" t="str">
        <f t="shared" si="7"/>
        <v/>
      </c>
      <c r="J70" s="283" t="str">
        <f t="shared" si="8"/>
        <v/>
      </c>
      <c r="K70" s="283" t="str">
        <f t="shared" si="9"/>
        <v/>
      </c>
      <c r="L70" s="283" t="str">
        <f t="shared" si="10"/>
        <v/>
      </c>
      <c r="M70" s="282">
        <f t="shared" si="11"/>
        <v>2.4</v>
      </c>
      <c r="N70" s="282">
        <f t="shared" si="12"/>
        <v>2.4</v>
      </c>
      <c r="O70" s="282">
        <f t="shared" si="13"/>
        <v>2.4</v>
      </c>
      <c r="P70" s="29"/>
      <c r="Q70" s="29"/>
      <c r="R70" s="29"/>
    </row>
    <row r="71" spans="2:22" ht="15.6" x14ac:dyDescent="0.3">
      <c r="B71" s="310">
        <f t="shared" si="0"/>
        <v>545</v>
      </c>
      <c r="C71" s="351">
        <f t="shared" si="1"/>
        <v>6025.7999999999993</v>
      </c>
      <c r="D71" s="283" t="str">
        <f t="shared" si="2"/>
        <v/>
      </c>
      <c r="E71" s="283" t="str">
        <f t="shared" si="3"/>
        <v/>
      </c>
      <c r="F71" s="283" t="str">
        <f t="shared" si="4"/>
        <v/>
      </c>
      <c r="G71" s="282">
        <f t="shared" si="5"/>
        <v>2.4</v>
      </c>
      <c r="H71" s="282">
        <f t="shared" si="6"/>
        <v>2.6</v>
      </c>
      <c r="I71" s="282">
        <f t="shared" si="7"/>
        <v>2.8</v>
      </c>
      <c r="J71" s="283">
        <f t="shared" si="8"/>
        <v>2</v>
      </c>
      <c r="K71" s="283">
        <f t="shared" si="9"/>
        <v>2.8</v>
      </c>
      <c r="L71" s="283">
        <f t="shared" si="10"/>
        <v>2</v>
      </c>
      <c r="M71" s="282">
        <f t="shared" si="11"/>
        <v>2.4</v>
      </c>
      <c r="N71" s="282">
        <f t="shared" si="12"/>
        <v>2.4</v>
      </c>
      <c r="O71" s="282">
        <f t="shared" si="13"/>
        <v>2.8</v>
      </c>
      <c r="P71" s="29"/>
      <c r="Q71" s="29"/>
      <c r="R71" s="29"/>
    </row>
    <row r="72" spans="2:22" ht="15.6" x14ac:dyDescent="0.3">
      <c r="B72" s="310">
        <f t="shared" si="0"/>
        <v>20618</v>
      </c>
      <c r="C72" s="351">
        <f t="shared" si="1"/>
        <v>4480.7299999999996</v>
      </c>
      <c r="D72" s="283" t="str">
        <f t="shared" si="2"/>
        <v/>
      </c>
      <c r="E72" s="283" t="str">
        <f t="shared" si="3"/>
        <v/>
      </c>
      <c r="F72" s="283" t="str">
        <f t="shared" si="4"/>
        <v/>
      </c>
      <c r="G72" s="282">
        <f t="shared" si="5"/>
        <v>2.4</v>
      </c>
      <c r="H72" s="282">
        <f t="shared" si="6"/>
        <v>2.6</v>
      </c>
      <c r="I72" s="282">
        <f t="shared" si="7"/>
        <v>2.8</v>
      </c>
      <c r="J72" s="283">
        <f t="shared" si="8"/>
        <v>2</v>
      </c>
      <c r="K72" s="283">
        <f t="shared" si="9"/>
        <v>2.4</v>
      </c>
      <c r="L72" s="283">
        <f t="shared" si="10"/>
        <v>2</v>
      </c>
      <c r="M72" s="282">
        <f t="shared" si="11"/>
        <v>2.4</v>
      </c>
      <c r="N72" s="282">
        <f t="shared" si="12"/>
        <v>2.4</v>
      </c>
      <c r="O72" s="282">
        <f t="shared" si="13"/>
        <v>2.4</v>
      </c>
    </row>
    <row r="73" spans="2:22" ht="15.6" x14ac:dyDescent="0.3">
      <c r="B73" s="310">
        <f t="shared" si="0"/>
        <v>534</v>
      </c>
      <c r="C73" s="351">
        <f t="shared" si="1"/>
        <v>15505</v>
      </c>
      <c r="D73" s="283">
        <f t="shared" si="2"/>
        <v>2</v>
      </c>
      <c r="E73" s="283">
        <f t="shared" si="3"/>
        <v>2.4</v>
      </c>
      <c r="F73" s="283">
        <f t="shared" si="4"/>
        <v>2.4</v>
      </c>
      <c r="G73" s="282">
        <f t="shared" si="5"/>
        <v>2</v>
      </c>
      <c r="H73" s="282">
        <f t="shared" si="6"/>
        <v>2.4</v>
      </c>
      <c r="I73" s="282">
        <f t="shared" si="7"/>
        <v>2.4</v>
      </c>
      <c r="J73" s="283">
        <f t="shared" si="8"/>
        <v>2</v>
      </c>
      <c r="K73" s="283">
        <f t="shared" si="9"/>
        <v>2</v>
      </c>
      <c r="L73" s="283">
        <f t="shared" si="10"/>
        <v>2</v>
      </c>
      <c r="M73" s="282">
        <f t="shared" si="11"/>
        <v>2</v>
      </c>
      <c r="N73" s="282">
        <f t="shared" si="12"/>
        <v>2.2000000000000002</v>
      </c>
      <c r="O73" s="282">
        <f t="shared" si="13"/>
        <v>2</v>
      </c>
    </row>
    <row r="74" spans="2:22" ht="15.6" x14ac:dyDescent="0.3">
      <c r="B74" s="310" t="str">
        <f t="shared" si="0"/>
        <v/>
      </c>
      <c r="C74" s="351" t="str">
        <f t="shared" si="1"/>
        <v/>
      </c>
      <c r="D74" s="283" t="str">
        <f t="shared" si="2"/>
        <v/>
      </c>
      <c r="E74" s="283" t="str">
        <f t="shared" si="3"/>
        <v/>
      </c>
      <c r="F74" s="283" t="str">
        <f t="shared" si="4"/>
        <v/>
      </c>
      <c r="G74" s="282" t="str">
        <f t="shared" si="5"/>
        <v/>
      </c>
      <c r="H74" s="282" t="str">
        <f t="shared" si="6"/>
        <v/>
      </c>
      <c r="I74" s="282" t="str">
        <f t="shared" si="7"/>
        <v/>
      </c>
      <c r="J74" s="283" t="str">
        <f t="shared" si="8"/>
        <v/>
      </c>
      <c r="K74" s="283" t="str">
        <f t="shared" si="9"/>
        <v/>
      </c>
      <c r="L74" s="283" t="str">
        <f t="shared" si="10"/>
        <v/>
      </c>
      <c r="M74" s="282" t="str">
        <f t="shared" si="11"/>
        <v/>
      </c>
      <c r="N74" s="282" t="str">
        <f t="shared" si="12"/>
        <v/>
      </c>
      <c r="O74" s="282" t="str">
        <f t="shared" si="13"/>
        <v/>
      </c>
    </row>
    <row r="75" spans="2:22" ht="15.6" x14ac:dyDescent="0.3">
      <c r="B75" s="310" t="str">
        <f t="shared" si="0"/>
        <v/>
      </c>
      <c r="C75" s="351" t="str">
        <f t="shared" si="1"/>
        <v/>
      </c>
      <c r="D75" s="283" t="str">
        <f t="shared" si="2"/>
        <v/>
      </c>
      <c r="E75" s="283" t="str">
        <f t="shared" si="3"/>
        <v/>
      </c>
      <c r="F75" s="283" t="str">
        <f t="shared" si="4"/>
        <v/>
      </c>
      <c r="G75" s="282" t="str">
        <f t="shared" si="5"/>
        <v/>
      </c>
      <c r="H75" s="282" t="str">
        <f t="shared" si="6"/>
        <v/>
      </c>
      <c r="I75" s="282" t="str">
        <f t="shared" si="7"/>
        <v/>
      </c>
      <c r="J75" s="283" t="str">
        <f t="shared" si="8"/>
        <v/>
      </c>
      <c r="K75" s="283" t="str">
        <f t="shared" si="9"/>
        <v/>
      </c>
      <c r="L75" s="283" t="str">
        <f t="shared" si="10"/>
        <v/>
      </c>
      <c r="M75" s="282" t="str">
        <f t="shared" si="11"/>
        <v/>
      </c>
      <c r="N75" s="282" t="str">
        <f t="shared" si="12"/>
        <v/>
      </c>
      <c r="O75" s="282" t="str">
        <f t="shared" si="13"/>
        <v/>
      </c>
      <c r="P75" s="50"/>
      <c r="Q75" s="32"/>
      <c r="R75" s="29"/>
      <c r="V75" s="49"/>
    </row>
    <row r="76" spans="2:22" ht="15.6" x14ac:dyDescent="0.3">
      <c r="B76" s="310" t="str">
        <f t="shared" si="0"/>
        <v/>
      </c>
      <c r="C76" s="351" t="str">
        <f t="shared" si="1"/>
        <v/>
      </c>
      <c r="D76" s="283" t="str">
        <f t="shared" si="2"/>
        <v/>
      </c>
      <c r="E76" s="283" t="str">
        <f t="shared" si="3"/>
        <v/>
      </c>
      <c r="F76" s="283" t="str">
        <f t="shared" si="4"/>
        <v/>
      </c>
      <c r="G76" s="282" t="str">
        <f t="shared" si="5"/>
        <v/>
      </c>
      <c r="H76" s="282" t="str">
        <f t="shared" si="6"/>
        <v/>
      </c>
      <c r="I76" s="282" t="str">
        <f t="shared" si="7"/>
        <v/>
      </c>
      <c r="J76" s="283" t="str">
        <f t="shared" si="8"/>
        <v/>
      </c>
      <c r="K76" s="283" t="str">
        <f t="shared" si="9"/>
        <v/>
      </c>
      <c r="L76" s="283" t="str">
        <f t="shared" si="10"/>
        <v/>
      </c>
      <c r="M76" s="282" t="str">
        <f t="shared" si="11"/>
        <v/>
      </c>
      <c r="N76" s="282" t="str">
        <f t="shared" si="12"/>
        <v/>
      </c>
      <c r="O76" s="282" t="str">
        <f t="shared" si="13"/>
        <v/>
      </c>
      <c r="P76" s="29"/>
      <c r="Q76" s="29"/>
      <c r="R76" s="29"/>
    </row>
    <row r="77" spans="2:22" ht="15.6" x14ac:dyDescent="0.3">
      <c r="B77" s="310" t="str">
        <f t="shared" si="0"/>
        <v/>
      </c>
      <c r="C77" s="351" t="str">
        <f t="shared" si="1"/>
        <v/>
      </c>
      <c r="D77" s="283" t="str">
        <f t="shared" si="2"/>
        <v/>
      </c>
      <c r="E77" s="283" t="str">
        <f t="shared" si="3"/>
        <v/>
      </c>
      <c r="F77" s="283" t="str">
        <f t="shared" si="4"/>
        <v/>
      </c>
      <c r="G77" s="282" t="str">
        <f t="shared" si="5"/>
        <v/>
      </c>
      <c r="H77" s="282" t="str">
        <f t="shared" si="6"/>
        <v/>
      </c>
      <c r="I77" s="282" t="str">
        <f t="shared" si="7"/>
        <v/>
      </c>
      <c r="J77" s="283" t="str">
        <f t="shared" si="8"/>
        <v/>
      </c>
      <c r="K77" s="283" t="str">
        <f t="shared" si="9"/>
        <v/>
      </c>
      <c r="L77" s="283" t="str">
        <f t="shared" si="10"/>
        <v/>
      </c>
      <c r="M77" s="282" t="str">
        <f t="shared" si="11"/>
        <v/>
      </c>
      <c r="N77" s="282" t="str">
        <f t="shared" si="12"/>
        <v/>
      </c>
      <c r="O77" s="282" t="str">
        <f t="shared" si="13"/>
        <v/>
      </c>
      <c r="P77" s="29"/>
      <c r="Q77" s="29"/>
      <c r="R77" s="29"/>
    </row>
    <row r="78" spans="2:22" ht="15.6" x14ac:dyDescent="0.3">
      <c r="B78" s="310" t="str">
        <f t="shared" si="0"/>
        <v/>
      </c>
      <c r="C78" s="351" t="str">
        <f t="shared" si="1"/>
        <v/>
      </c>
      <c r="D78" s="283" t="str">
        <f t="shared" si="2"/>
        <v/>
      </c>
      <c r="E78" s="283" t="str">
        <f t="shared" si="3"/>
        <v/>
      </c>
      <c r="F78" s="283" t="str">
        <f t="shared" si="4"/>
        <v/>
      </c>
      <c r="G78" s="282" t="str">
        <f t="shared" si="5"/>
        <v/>
      </c>
      <c r="H78" s="282" t="str">
        <f t="shared" si="6"/>
        <v/>
      </c>
      <c r="I78" s="282" t="str">
        <f t="shared" si="7"/>
        <v/>
      </c>
      <c r="J78" s="283" t="str">
        <f t="shared" si="8"/>
        <v/>
      </c>
      <c r="K78" s="283" t="str">
        <f t="shared" si="9"/>
        <v/>
      </c>
      <c r="L78" s="283" t="str">
        <f t="shared" si="10"/>
        <v/>
      </c>
      <c r="M78" s="282" t="str">
        <f t="shared" si="11"/>
        <v/>
      </c>
      <c r="N78" s="282" t="str">
        <f t="shared" si="12"/>
        <v/>
      </c>
      <c r="O78" s="282" t="str">
        <f t="shared" si="13"/>
        <v/>
      </c>
    </row>
    <row r="79" spans="2:22" ht="19.5" customHeight="1" x14ac:dyDescent="0.3">
      <c r="B79" s="169"/>
      <c r="C79" s="574" t="s">
        <v>272</v>
      </c>
      <c r="D79" s="574"/>
      <c r="E79" s="574"/>
      <c r="F79" s="574"/>
      <c r="G79" s="574"/>
      <c r="H79" s="574"/>
      <c r="I79" s="574"/>
      <c r="J79" s="574"/>
      <c r="K79" s="574"/>
      <c r="L79" s="574"/>
      <c r="M79" s="574"/>
      <c r="N79" s="574"/>
      <c r="O79" s="574"/>
    </row>
    <row r="80" spans="2:22" ht="21.75" customHeight="1" x14ac:dyDescent="0.3">
      <c r="B80" s="169"/>
      <c r="C80" s="575" t="s">
        <v>430</v>
      </c>
      <c r="D80" s="575"/>
      <c r="E80" s="575"/>
      <c r="F80" s="575"/>
      <c r="G80" s="575"/>
      <c r="H80" s="575"/>
      <c r="I80" s="575"/>
      <c r="J80" s="575"/>
      <c r="K80" s="575"/>
      <c r="L80" s="575"/>
      <c r="M80" s="575"/>
      <c r="N80" s="575"/>
      <c r="O80" s="575"/>
    </row>
    <row r="81" spans="2:15" x14ac:dyDescent="0.3">
      <c r="M81" s="32"/>
    </row>
    <row r="82" spans="2:15" ht="20.100000000000001" customHeight="1" x14ac:dyDescent="0.3">
      <c r="B82" s="538" t="s">
        <v>157</v>
      </c>
      <c r="C82" s="538"/>
      <c r="D82" s="538"/>
      <c r="E82" s="538"/>
      <c r="F82" s="538"/>
      <c r="G82" s="538"/>
      <c r="H82" s="538"/>
      <c r="I82" s="538"/>
      <c r="J82" s="538"/>
      <c r="K82" s="538"/>
      <c r="L82" s="538"/>
      <c r="M82" s="538"/>
      <c r="N82" s="538"/>
      <c r="O82" s="538"/>
    </row>
    <row r="83" spans="2:15" ht="24" customHeight="1" x14ac:dyDescent="0.3">
      <c r="B83" s="551" t="s">
        <v>393</v>
      </c>
      <c r="C83" s="552"/>
      <c r="D83" s="552"/>
      <c r="E83" s="552"/>
      <c r="F83" s="552"/>
      <c r="G83" s="552"/>
      <c r="H83" s="552"/>
      <c r="I83" s="552"/>
      <c r="J83" s="552"/>
      <c r="K83" s="552"/>
      <c r="L83" s="552"/>
      <c r="M83" s="552"/>
      <c r="N83" s="552"/>
      <c r="O83" s="553"/>
    </row>
    <row r="84" spans="2:15" ht="60.75" customHeight="1" x14ac:dyDescent="0.3">
      <c r="B84" s="279" t="s">
        <v>103</v>
      </c>
      <c r="C84" s="279" t="s">
        <v>256</v>
      </c>
      <c r="D84" s="280" t="s">
        <v>104</v>
      </c>
      <c r="E84" s="280" t="s">
        <v>105</v>
      </c>
      <c r="F84" s="280" t="s">
        <v>106</v>
      </c>
      <c r="G84" s="281" t="s">
        <v>107</v>
      </c>
      <c r="H84" s="281" t="s">
        <v>108</v>
      </c>
      <c r="I84" s="281" t="s">
        <v>109</v>
      </c>
      <c r="J84" s="280" t="s">
        <v>110</v>
      </c>
      <c r="K84" s="280" t="s">
        <v>111</v>
      </c>
      <c r="L84" s="280" t="s">
        <v>112</v>
      </c>
      <c r="M84" s="284" t="s">
        <v>424</v>
      </c>
      <c r="N84" s="284" t="s">
        <v>425</v>
      </c>
      <c r="O84" s="284" t="s">
        <v>426</v>
      </c>
    </row>
    <row r="85" spans="2:15" ht="15.6" x14ac:dyDescent="0.3">
      <c r="B85" s="310">
        <f t="shared" ref="B85:B114" si="14">B49</f>
        <v>123577945380201</v>
      </c>
      <c r="C85" s="285">
        <f t="shared" ref="C85:C114" si="15">$C14</f>
        <v>3502</v>
      </c>
      <c r="D85" s="286" t="str">
        <f t="shared" ref="D85:O85" si="16">IF($C85="","",IF(D49="","",((D49/3)*$C85)))</f>
        <v/>
      </c>
      <c r="E85" s="286" t="str">
        <f t="shared" si="16"/>
        <v/>
      </c>
      <c r="F85" s="286" t="str">
        <f t="shared" si="16"/>
        <v/>
      </c>
      <c r="G85" s="285">
        <f t="shared" si="16"/>
        <v>2801.6</v>
      </c>
      <c r="H85" s="285">
        <f t="shared" si="16"/>
        <v>2801.6</v>
      </c>
      <c r="I85" s="285">
        <f t="shared" si="16"/>
        <v>3035.0666666666666</v>
      </c>
      <c r="J85" s="286">
        <f t="shared" si="16"/>
        <v>2801.6</v>
      </c>
      <c r="K85" s="286">
        <f t="shared" si="16"/>
        <v>2334.6666666666665</v>
      </c>
      <c r="L85" s="286">
        <f t="shared" si="16"/>
        <v>2334.6666666666665</v>
      </c>
      <c r="M85" s="287">
        <f t="shared" si="16"/>
        <v>2801.6</v>
      </c>
      <c r="N85" s="287">
        <f t="shared" si="16"/>
        <v>2801.6</v>
      </c>
      <c r="O85" s="287">
        <f t="shared" si="16"/>
        <v>2801.6</v>
      </c>
    </row>
    <row r="86" spans="2:15" ht="15.6" x14ac:dyDescent="0.3">
      <c r="B86" s="310">
        <f t="shared" si="14"/>
        <v>123577945380202</v>
      </c>
      <c r="C86" s="285">
        <f t="shared" si="15"/>
        <v>1907</v>
      </c>
      <c r="D86" s="286" t="str">
        <f t="shared" ref="D86:O86" si="17">IF($C86="","",IF(D50="","",((D50/3)*$C86)))</f>
        <v/>
      </c>
      <c r="E86" s="286" t="str">
        <f t="shared" si="17"/>
        <v/>
      </c>
      <c r="F86" s="286" t="str">
        <f t="shared" si="17"/>
        <v/>
      </c>
      <c r="G86" s="285">
        <f t="shared" si="17"/>
        <v>1779.8666666666666</v>
      </c>
      <c r="H86" s="285">
        <f t="shared" si="17"/>
        <v>1525.6</v>
      </c>
      <c r="I86" s="285">
        <f t="shared" si="17"/>
        <v>1652.7333333333333</v>
      </c>
      <c r="J86" s="286">
        <f t="shared" si="17"/>
        <v>1525.6</v>
      </c>
      <c r="K86" s="286">
        <f t="shared" si="17"/>
        <v>1271.3333333333333</v>
      </c>
      <c r="L86" s="286">
        <f t="shared" si="17"/>
        <v>1271.3333333333333</v>
      </c>
      <c r="M86" s="287">
        <f t="shared" si="17"/>
        <v>1525.6</v>
      </c>
      <c r="N86" s="287">
        <f t="shared" si="17"/>
        <v>1525.6</v>
      </c>
      <c r="O86" s="287">
        <f t="shared" si="17"/>
        <v>1525.6</v>
      </c>
    </row>
    <row r="87" spans="2:15" ht="15.6" x14ac:dyDescent="0.3">
      <c r="B87" s="310">
        <f t="shared" si="14"/>
        <v>123577945380203</v>
      </c>
      <c r="C87" s="285">
        <f t="shared" si="15"/>
        <v>3971</v>
      </c>
      <c r="D87" s="286" t="str">
        <f t="shared" ref="D87:O87" si="18">IF($C87="","",IF(D51="","",((D51/3)*$C87)))</f>
        <v/>
      </c>
      <c r="E87" s="286" t="str">
        <f t="shared" si="18"/>
        <v/>
      </c>
      <c r="F87" s="286" t="str">
        <f t="shared" si="18"/>
        <v/>
      </c>
      <c r="G87" s="285">
        <f t="shared" si="18"/>
        <v>3706.2666666666664</v>
      </c>
      <c r="H87" s="285">
        <f t="shared" si="18"/>
        <v>3176.7999999999997</v>
      </c>
      <c r="I87" s="285">
        <f t="shared" si="18"/>
        <v>3441.5333333333333</v>
      </c>
      <c r="J87" s="286" t="str">
        <f t="shared" si="18"/>
        <v/>
      </c>
      <c r="K87" s="286" t="str">
        <f t="shared" si="18"/>
        <v/>
      </c>
      <c r="L87" s="286" t="str">
        <f t="shared" si="18"/>
        <v/>
      </c>
      <c r="M87" s="287">
        <f t="shared" si="18"/>
        <v>3176.7999999999997</v>
      </c>
      <c r="N87" s="287">
        <f t="shared" si="18"/>
        <v>3176.7999999999997</v>
      </c>
      <c r="O87" s="287">
        <f t="shared" si="18"/>
        <v>3176.7999999999997</v>
      </c>
    </row>
    <row r="88" spans="2:15" ht="15.6" x14ac:dyDescent="0.3">
      <c r="B88" s="310">
        <f t="shared" si="14"/>
        <v>123580645381001</v>
      </c>
      <c r="C88" s="285">
        <f t="shared" si="15"/>
        <v>6862</v>
      </c>
      <c r="D88" s="286" t="str">
        <f t="shared" ref="D88:O88" si="19">IF($C88="","",IF(D52="","",((D52/3)*$C88)))</f>
        <v/>
      </c>
      <c r="E88" s="286" t="str">
        <f t="shared" si="19"/>
        <v/>
      </c>
      <c r="F88" s="286" t="str">
        <f t="shared" si="19"/>
        <v/>
      </c>
      <c r="G88" s="285">
        <f t="shared" si="19"/>
        <v>5489.5999999999995</v>
      </c>
      <c r="H88" s="285">
        <f t="shared" si="19"/>
        <v>5489.5999999999995</v>
      </c>
      <c r="I88" s="285">
        <f t="shared" si="19"/>
        <v>5947.0666666666666</v>
      </c>
      <c r="J88" s="286">
        <f t="shared" si="19"/>
        <v>5489.5999999999995</v>
      </c>
      <c r="K88" s="286">
        <f t="shared" si="19"/>
        <v>4574.6666666666661</v>
      </c>
      <c r="L88" s="286">
        <f t="shared" si="19"/>
        <v>4574.6666666666661</v>
      </c>
      <c r="M88" s="287">
        <f t="shared" si="19"/>
        <v>5489.5999999999995</v>
      </c>
      <c r="N88" s="287">
        <f t="shared" si="19"/>
        <v>5489.5999999999995</v>
      </c>
      <c r="O88" s="287">
        <f t="shared" si="19"/>
        <v>5489.5999999999995</v>
      </c>
    </row>
    <row r="89" spans="2:15" ht="15.6" x14ac:dyDescent="0.3">
      <c r="B89" s="310">
        <f t="shared" si="14"/>
        <v>123538845350501</v>
      </c>
      <c r="C89" s="285">
        <f t="shared" si="15"/>
        <v>2992</v>
      </c>
      <c r="D89" s="286" t="str">
        <f t="shared" ref="D89:O89" si="20">IF($C89="","",IF(D53="","",((D53/3)*$C89)))</f>
        <v/>
      </c>
      <c r="E89" s="286" t="str">
        <f t="shared" si="20"/>
        <v/>
      </c>
      <c r="F89" s="286" t="str">
        <f t="shared" si="20"/>
        <v/>
      </c>
      <c r="G89" s="285">
        <f t="shared" si="20"/>
        <v>1994.6666666666665</v>
      </c>
      <c r="H89" s="285">
        <f t="shared" si="20"/>
        <v>2393.6</v>
      </c>
      <c r="I89" s="285">
        <f t="shared" si="20"/>
        <v>2593.0666666666666</v>
      </c>
      <c r="J89" s="286">
        <f t="shared" si="20"/>
        <v>2393.6</v>
      </c>
      <c r="K89" s="286">
        <f t="shared" si="20"/>
        <v>1994.6666666666665</v>
      </c>
      <c r="L89" s="286">
        <f t="shared" si="20"/>
        <v>1994.6666666666665</v>
      </c>
      <c r="M89" s="287">
        <f t="shared" si="20"/>
        <v>2792.5333333333328</v>
      </c>
      <c r="N89" s="287">
        <f t="shared" si="20"/>
        <v>2792.5333333333328</v>
      </c>
      <c r="O89" s="287">
        <f t="shared" si="20"/>
        <v>2792.5333333333328</v>
      </c>
    </row>
    <row r="90" spans="2:15" ht="15.6" x14ac:dyDescent="0.3">
      <c r="B90" s="310">
        <f t="shared" si="14"/>
        <v>123605145416502</v>
      </c>
      <c r="C90" s="285">
        <f t="shared" si="15"/>
        <v>32397</v>
      </c>
      <c r="D90" s="286">
        <f t="shared" ref="D90:O90" si="21">IF($C90="","",IF(D54="","",((D54/3)*$C90)))</f>
        <v>30237.199999999997</v>
      </c>
      <c r="E90" s="286">
        <f t="shared" si="21"/>
        <v>25917.599999999999</v>
      </c>
      <c r="F90" s="286">
        <f t="shared" si="21"/>
        <v>25917.599999999999</v>
      </c>
      <c r="G90" s="285">
        <f t="shared" si="21"/>
        <v>25917.599999999999</v>
      </c>
      <c r="H90" s="285">
        <f t="shared" si="21"/>
        <v>25917.599999999999</v>
      </c>
      <c r="I90" s="285">
        <f t="shared" si="21"/>
        <v>30237.199999999997</v>
      </c>
      <c r="J90" s="286">
        <f t="shared" si="21"/>
        <v>30237.199999999997</v>
      </c>
      <c r="K90" s="286">
        <f t="shared" si="21"/>
        <v>25917.599999999999</v>
      </c>
      <c r="L90" s="286">
        <f t="shared" si="21"/>
        <v>25917.599999999999</v>
      </c>
      <c r="M90" s="287">
        <f t="shared" si="21"/>
        <v>25917.599999999999</v>
      </c>
      <c r="N90" s="287">
        <f t="shared" si="21"/>
        <v>25917.599999999999</v>
      </c>
      <c r="O90" s="287">
        <f t="shared" si="21"/>
        <v>25917.599999999999</v>
      </c>
    </row>
    <row r="91" spans="2:15" ht="15.6" x14ac:dyDescent="0.3">
      <c r="B91" s="310">
        <f t="shared" si="14"/>
        <v>123605145416503</v>
      </c>
      <c r="C91" s="285">
        <f t="shared" si="15"/>
        <v>12404</v>
      </c>
      <c r="D91" s="286">
        <f t="shared" ref="D91:O91" si="22">IF($C91="","",IF(D55="","",((D55/3)*$C91)))</f>
        <v>11577.066666666666</v>
      </c>
      <c r="E91" s="286">
        <f t="shared" si="22"/>
        <v>9923.1999999999989</v>
      </c>
      <c r="F91" s="286">
        <f t="shared" si="22"/>
        <v>11577.066666666666</v>
      </c>
      <c r="G91" s="285">
        <f t="shared" si="22"/>
        <v>9923.1999999999989</v>
      </c>
      <c r="H91" s="285">
        <f t="shared" si="22"/>
        <v>11577.066666666666</v>
      </c>
      <c r="I91" s="285">
        <f t="shared" si="22"/>
        <v>11577.066666666666</v>
      </c>
      <c r="J91" s="286">
        <f t="shared" si="22"/>
        <v>11577.066666666666</v>
      </c>
      <c r="K91" s="286">
        <f t="shared" si="22"/>
        <v>9923.1999999999989</v>
      </c>
      <c r="L91" s="286">
        <f t="shared" si="22"/>
        <v>8269.3333333333321</v>
      </c>
      <c r="M91" s="287">
        <f t="shared" si="22"/>
        <v>9923.1999999999989</v>
      </c>
      <c r="N91" s="287">
        <f t="shared" si="22"/>
        <v>9923.1999999999989</v>
      </c>
      <c r="O91" s="287">
        <f t="shared" si="22"/>
        <v>9923.1999999999989</v>
      </c>
    </row>
    <row r="92" spans="2:15" ht="15.6" x14ac:dyDescent="0.3">
      <c r="B92" s="310">
        <f t="shared" si="14"/>
        <v>123605145416504</v>
      </c>
      <c r="C92" s="285">
        <f t="shared" si="15"/>
        <v>52314</v>
      </c>
      <c r="D92" s="286">
        <f t="shared" ref="D92:O92" si="23">IF($C92="","",IF(D56="","",((D56/3)*$C92)))</f>
        <v>48826.399999999994</v>
      </c>
      <c r="E92" s="286">
        <f t="shared" si="23"/>
        <v>41851.199999999997</v>
      </c>
      <c r="F92" s="286">
        <f t="shared" si="23"/>
        <v>48826.399999999994</v>
      </c>
      <c r="G92" s="285">
        <f t="shared" si="23"/>
        <v>48826.399999999994</v>
      </c>
      <c r="H92" s="285">
        <f t="shared" si="23"/>
        <v>48826.399999999994</v>
      </c>
      <c r="I92" s="285">
        <f t="shared" si="23"/>
        <v>48826.399999999994</v>
      </c>
      <c r="J92" s="286">
        <f t="shared" si="23"/>
        <v>48826.399999999994</v>
      </c>
      <c r="K92" s="286">
        <f t="shared" si="23"/>
        <v>41851.199999999997</v>
      </c>
      <c r="L92" s="286">
        <f t="shared" si="23"/>
        <v>34876</v>
      </c>
      <c r="M92" s="287">
        <f t="shared" si="23"/>
        <v>41851.199999999997</v>
      </c>
      <c r="N92" s="287">
        <f t="shared" si="23"/>
        <v>41851.199999999997</v>
      </c>
      <c r="O92" s="287">
        <f t="shared" si="23"/>
        <v>41851.199999999997</v>
      </c>
    </row>
    <row r="93" spans="2:15" ht="15.6" x14ac:dyDescent="0.3">
      <c r="B93" s="310">
        <f t="shared" si="14"/>
        <v>123605145416505</v>
      </c>
      <c r="C93" s="285">
        <f t="shared" si="15"/>
        <v>199559</v>
      </c>
      <c r="D93" s="286">
        <f t="shared" ref="D93:O93" si="24">IF($C93="","",IF(D57="","",((D57/3)*$C93)))</f>
        <v>186255.06666666665</v>
      </c>
      <c r="E93" s="286">
        <f t="shared" si="24"/>
        <v>159647.19999999998</v>
      </c>
      <c r="F93" s="286">
        <f t="shared" si="24"/>
        <v>159647.19999999998</v>
      </c>
      <c r="G93" s="285">
        <f t="shared" si="24"/>
        <v>186255.06666666665</v>
      </c>
      <c r="H93" s="285">
        <f t="shared" si="24"/>
        <v>159647.19999999998</v>
      </c>
      <c r="I93" s="285">
        <f t="shared" si="24"/>
        <v>186255.06666666665</v>
      </c>
      <c r="J93" s="286">
        <f t="shared" si="24"/>
        <v>186255.06666666665</v>
      </c>
      <c r="K93" s="286">
        <f t="shared" si="24"/>
        <v>133039.33333333331</v>
      </c>
      <c r="L93" s="286">
        <f t="shared" si="24"/>
        <v>133039.33333333331</v>
      </c>
      <c r="M93" s="287">
        <f t="shared" si="24"/>
        <v>159647.19999999998</v>
      </c>
      <c r="N93" s="287">
        <f t="shared" si="24"/>
        <v>159647.19999999998</v>
      </c>
      <c r="O93" s="287">
        <f t="shared" si="24"/>
        <v>159647.19999999998</v>
      </c>
    </row>
    <row r="94" spans="2:15" ht="15.6" x14ac:dyDescent="0.3">
      <c r="B94" s="310">
        <f t="shared" si="14"/>
        <v>123605145416506</v>
      </c>
      <c r="C94" s="285">
        <f t="shared" si="15"/>
        <v>13135</v>
      </c>
      <c r="D94" s="286">
        <f t="shared" ref="D94:O94" si="25">IF($C94="","",IF(D58="","",((D58/3)*$C94)))</f>
        <v>12259.333333333332</v>
      </c>
      <c r="E94" s="286">
        <f t="shared" si="25"/>
        <v>10508</v>
      </c>
      <c r="F94" s="286">
        <f t="shared" si="25"/>
        <v>12259.333333333332</v>
      </c>
      <c r="G94" s="285">
        <f t="shared" si="25"/>
        <v>10508</v>
      </c>
      <c r="H94" s="285">
        <f t="shared" si="25"/>
        <v>12259.333333333332</v>
      </c>
      <c r="I94" s="285">
        <f t="shared" si="25"/>
        <v>12259.333333333332</v>
      </c>
      <c r="J94" s="286">
        <f t="shared" si="25"/>
        <v>12259.333333333332</v>
      </c>
      <c r="K94" s="286">
        <f t="shared" si="25"/>
        <v>8756.6666666666661</v>
      </c>
      <c r="L94" s="286">
        <f t="shared" si="25"/>
        <v>8756.6666666666661</v>
      </c>
      <c r="M94" s="287">
        <f t="shared" si="25"/>
        <v>10508</v>
      </c>
      <c r="N94" s="287">
        <f t="shared" si="25"/>
        <v>10508</v>
      </c>
      <c r="O94" s="287">
        <f t="shared" si="25"/>
        <v>10508</v>
      </c>
    </row>
    <row r="95" spans="2:15" ht="15.6" x14ac:dyDescent="0.3">
      <c r="B95" s="310">
        <f t="shared" si="14"/>
        <v>123605145416507</v>
      </c>
      <c r="C95" s="285">
        <f t="shared" si="15"/>
        <v>20650</v>
      </c>
      <c r="D95" s="286">
        <f t="shared" ref="D95:O95" si="26">IF($C95="","",IF(D59="","",((D59/3)*$C95)))</f>
        <v>19273.333333333332</v>
      </c>
      <c r="E95" s="286">
        <f t="shared" si="26"/>
        <v>16520</v>
      </c>
      <c r="F95" s="286">
        <f t="shared" si="26"/>
        <v>19273.333333333332</v>
      </c>
      <c r="G95" s="285">
        <f t="shared" si="26"/>
        <v>19273.333333333332</v>
      </c>
      <c r="H95" s="285">
        <f t="shared" si="26"/>
        <v>17896.666666666668</v>
      </c>
      <c r="I95" s="285">
        <f t="shared" si="26"/>
        <v>19273.333333333332</v>
      </c>
      <c r="J95" s="286">
        <f t="shared" si="26"/>
        <v>16520</v>
      </c>
      <c r="K95" s="286">
        <f t="shared" si="26"/>
        <v>13766.666666666666</v>
      </c>
      <c r="L95" s="286">
        <f t="shared" si="26"/>
        <v>13766.666666666666</v>
      </c>
      <c r="M95" s="287">
        <f t="shared" si="26"/>
        <v>16520</v>
      </c>
      <c r="N95" s="287">
        <f t="shared" si="26"/>
        <v>16520</v>
      </c>
      <c r="O95" s="287">
        <f t="shared" si="26"/>
        <v>16520</v>
      </c>
    </row>
    <row r="96" spans="2:15" ht="15.6" x14ac:dyDescent="0.3">
      <c r="B96" s="310">
        <f t="shared" si="14"/>
        <v>123605145416508</v>
      </c>
      <c r="C96" s="285">
        <f t="shared" si="15"/>
        <v>14109</v>
      </c>
      <c r="D96" s="286">
        <f t="shared" ref="D96:O96" si="27">IF($C96="","",IF(D60="","",((D60/3)*$C96)))</f>
        <v>13168.399999999998</v>
      </c>
      <c r="E96" s="286">
        <f t="shared" si="27"/>
        <v>11287.199999999999</v>
      </c>
      <c r="F96" s="286">
        <f t="shared" si="27"/>
        <v>13168.399999999998</v>
      </c>
      <c r="G96" s="285">
        <f t="shared" si="27"/>
        <v>13168.399999999998</v>
      </c>
      <c r="H96" s="285">
        <f t="shared" si="27"/>
        <v>12227.800000000001</v>
      </c>
      <c r="I96" s="285">
        <f t="shared" si="27"/>
        <v>13168.399999999998</v>
      </c>
      <c r="J96" s="286">
        <f t="shared" si="27"/>
        <v>13168.399999999998</v>
      </c>
      <c r="K96" s="286">
        <f t="shared" si="27"/>
        <v>13168.399999999998</v>
      </c>
      <c r="L96" s="286">
        <f t="shared" si="27"/>
        <v>9406</v>
      </c>
      <c r="M96" s="287">
        <f t="shared" si="27"/>
        <v>11287.199999999999</v>
      </c>
      <c r="N96" s="287">
        <f t="shared" si="27"/>
        <v>11287.199999999999</v>
      </c>
      <c r="O96" s="287">
        <f t="shared" si="27"/>
        <v>11287.199999999999</v>
      </c>
    </row>
    <row r="97" spans="2:15" ht="15.6" x14ac:dyDescent="0.3">
      <c r="B97" s="310">
        <f t="shared" si="14"/>
        <v>123605145416509</v>
      </c>
      <c r="C97" s="285">
        <f t="shared" si="15"/>
        <v>9412</v>
      </c>
      <c r="D97" s="286">
        <f t="shared" ref="D97:O97" si="28">IF($C97="","",IF(D61="","",((D61/3)*$C97)))</f>
        <v>8784.5333333333328</v>
      </c>
      <c r="E97" s="286">
        <f t="shared" si="28"/>
        <v>7529.5999999999995</v>
      </c>
      <c r="F97" s="286">
        <f t="shared" si="28"/>
        <v>8784.5333333333328</v>
      </c>
      <c r="G97" s="285">
        <f t="shared" si="28"/>
        <v>7529.5999999999995</v>
      </c>
      <c r="H97" s="285">
        <f t="shared" si="28"/>
        <v>8157.0666666666666</v>
      </c>
      <c r="I97" s="285">
        <f t="shared" si="28"/>
        <v>8784.5333333333328</v>
      </c>
      <c r="J97" s="286">
        <f t="shared" si="28"/>
        <v>7529.5999999999995</v>
      </c>
      <c r="K97" s="286">
        <f t="shared" si="28"/>
        <v>6274.6666666666661</v>
      </c>
      <c r="L97" s="286">
        <f t="shared" si="28"/>
        <v>6274.6666666666661</v>
      </c>
      <c r="M97" s="287">
        <f t="shared" si="28"/>
        <v>7529.5999999999995</v>
      </c>
      <c r="N97" s="287">
        <f t="shared" si="28"/>
        <v>7529.5999999999995</v>
      </c>
      <c r="O97" s="287">
        <f t="shared" si="28"/>
        <v>7529.5999999999995</v>
      </c>
    </row>
    <row r="98" spans="2:15" ht="15.6" x14ac:dyDescent="0.3">
      <c r="B98" s="310">
        <f t="shared" si="14"/>
        <v>123605145416510</v>
      </c>
      <c r="C98" s="285">
        <f t="shared" si="15"/>
        <v>8891</v>
      </c>
      <c r="D98" s="286">
        <f t="shared" ref="D98:O98" si="29">IF($C98="","",IF(D62="","",((D62/3)*$C98)))</f>
        <v>8298.2666666666664</v>
      </c>
      <c r="E98" s="286">
        <f t="shared" si="29"/>
        <v>7112.7999999999993</v>
      </c>
      <c r="F98" s="286">
        <f t="shared" si="29"/>
        <v>8298.2666666666664</v>
      </c>
      <c r="G98" s="285">
        <f t="shared" si="29"/>
        <v>7112.7999999999993</v>
      </c>
      <c r="H98" s="285">
        <f t="shared" si="29"/>
        <v>7705.5333333333338</v>
      </c>
      <c r="I98" s="285">
        <f t="shared" si="29"/>
        <v>8298.2666666666664</v>
      </c>
      <c r="J98" s="286">
        <f t="shared" si="29"/>
        <v>8298.2666666666664</v>
      </c>
      <c r="K98" s="286">
        <f t="shared" si="29"/>
        <v>7112.7999999999993</v>
      </c>
      <c r="L98" s="286">
        <f t="shared" si="29"/>
        <v>5927.333333333333</v>
      </c>
      <c r="M98" s="287">
        <f t="shared" si="29"/>
        <v>7112.7999999999993</v>
      </c>
      <c r="N98" s="287">
        <f t="shared" si="29"/>
        <v>7112.7999999999993</v>
      </c>
      <c r="O98" s="287">
        <f t="shared" si="29"/>
        <v>7112.7999999999993</v>
      </c>
    </row>
    <row r="99" spans="2:15" ht="15.6" x14ac:dyDescent="0.3">
      <c r="B99" s="310">
        <f t="shared" si="14"/>
        <v>123605145416511</v>
      </c>
      <c r="C99" s="285">
        <f t="shared" si="15"/>
        <v>9134</v>
      </c>
      <c r="D99" s="286" t="str">
        <f t="shared" ref="D99:O99" si="30">IF($C99="","",IF(D63="","",((D63/3)*$C99)))</f>
        <v/>
      </c>
      <c r="E99" s="286" t="str">
        <f t="shared" si="30"/>
        <v/>
      </c>
      <c r="F99" s="286" t="str">
        <f t="shared" si="30"/>
        <v/>
      </c>
      <c r="G99" s="285">
        <f t="shared" si="30"/>
        <v>7307.2</v>
      </c>
      <c r="H99" s="285">
        <f t="shared" si="30"/>
        <v>7307.2</v>
      </c>
      <c r="I99" s="285">
        <f t="shared" si="30"/>
        <v>7916.1333333333332</v>
      </c>
      <c r="J99" s="286">
        <f t="shared" si="30"/>
        <v>6089.333333333333</v>
      </c>
      <c r="K99" s="286">
        <f t="shared" si="30"/>
        <v>6089.333333333333</v>
      </c>
      <c r="L99" s="286">
        <f t="shared" si="30"/>
        <v>6089.333333333333</v>
      </c>
      <c r="M99" s="287">
        <f t="shared" si="30"/>
        <v>7307.2</v>
      </c>
      <c r="N99" s="287">
        <f t="shared" si="30"/>
        <v>7307.2</v>
      </c>
      <c r="O99" s="287">
        <f t="shared" si="30"/>
        <v>7307.2</v>
      </c>
    </row>
    <row r="100" spans="2:15" ht="15.6" x14ac:dyDescent="0.3">
      <c r="B100" s="310">
        <f t="shared" si="14"/>
        <v>123558145368201</v>
      </c>
      <c r="C100" s="285">
        <f t="shared" si="15"/>
        <v>1963</v>
      </c>
      <c r="D100" s="286" t="str">
        <f t="shared" ref="D100:O100" si="31">IF($C100="","",IF(D64="","",((D64/3)*$C100)))</f>
        <v/>
      </c>
      <c r="E100" s="286" t="str">
        <f t="shared" si="31"/>
        <v/>
      </c>
      <c r="F100" s="286" t="str">
        <f t="shared" si="31"/>
        <v/>
      </c>
      <c r="G100" s="285">
        <f t="shared" si="31"/>
        <v>1570.3999999999999</v>
      </c>
      <c r="H100" s="285">
        <f t="shared" si="31"/>
        <v>1570.3999999999999</v>
      </c>
      <c r="I100" s="285">
        <f t="shared" si="31"/>
        <v>1701.2666666666667</v>
      </c>
      <c r="J100" s="286">
        <f t="shared" si="31"/>
        <v>1570.3999999999999</v>
      </c>
      <c r="K100" s="286">
        <f t="shared" si="31"/>
        <v>1308.6666666666665</v>
      </c>
      <c r="L100" s="286">
        <f t="shared" si="31"/>
        <v>1308.6666666666665</v>
      </c>
      <c r="M100" s="287">
        <f t="shared" si="31"/>
        <v>1570.3999999999999</v>
      </c>
      <c r="N100" s="287">
        <f t="shared" si="31"/>
        <v>1570.3999999999999</v>
      </c>
      <c r="O100" s="287">
        <f t="shared" si="31"/>
        <v>1570.3999999999999</v>
      </c>
    </row>
    <row r="101" spans="2:15" ht="15.6" x14ac:dyDescent="0.3">
      <c r="B101" s="310">
        <f t="shared" si="14"/>
        <v>123515145361401</v>
      </c>
      <c r="C101" s="285">
        <f t="shared" si="15"/>
        <v>3357</v>
      </c>
      <c r="D101" s="286" t="str">
        <f t="shared" ref="D101:O101" si="32">IF($C101="","",IF(D65="","",((D65/3)*$C101)))</f>
        <v/>
      </c>
      <c r="E101" s="286" t="str">
        <f t="shared" si="32"/>
        <v/>
      </c>
      <c r="F101" s="286" t="str">
        <f t="shared" si="32"/>
        <v/>
      </c>
      <c r="G101" s="285">
        <f t="shared" si="32"/>
        <v>3133.2</v>
      </c>
      <c r="H101" s="285">
        <f t="shared" si="32"/>
        <v>2909.4</v>
      </c>
      <c r="I101" s="285">
        <f t="shared" si="32"/>
        <v>2909.4</v>
      </c>
      <c r="J101" s="286">
        <f t="shared" si="32"/>
        <v>2685.6</v>
      </c>
      <c r="K101" s="286">
        <f t="shared" si="32"/>
        <v>2238</v>
      </c>
      <c r="L101" s="286">
        <f t="shared" si="32"/>
        <v>2238</v>
      </c>
      <c r="M101" s="287">
        <f t="shared" si="32"/>
        <v>2238</v>
      </c>
      <c r="N101" s="287">
        <f t="shared" si="32"/>
        <v>2238</v>
      </c>
      <c r="O101" s="287">
        <f t="shared" si="32"/>
        <v>2238</v>
      </c>
    </row>
    <row r="102" spans="2:15" ht="15.6" x14ac:dyDescent="0.3">
      <c r="B102" s="310">
        <f t="shared" si="14"/>
        <v>123547445360901</v>
      </c>
      <c r="C102" s="285">
        <f t="shared" si="15"/>
        <v>6251</v>
      </c>
      <c r="D102" s="286" t="str">
        <f t="shared" ref="D102:O102" si="33">IF($C102="","",IF(D66="","",((D66/3)*$C102)))</f>
        <v/>
      </c>
      <c r="E102" s="286" t="str">
        <f t="shared" si="33"/>
        <v/>
      </c>
      <c r="F102" s="286" t="str">
        <f t="shared" si="33"/>
        <v/>
      </c>
      <c r="G102" s="285">
        <f t="shared" si="33"/>
        <v>5834.2666666666664</v>
      </c>
      <c r="H102" s="285">
        <f t="shared" si="33"/>
        <v>5417.5333333333338</v>
      </c>
      <c r="I102" s="285">
        <f t="shared" si="33"/>
        <v>5834.2666666666664</v>
      </c>
      <c r="J102" s="286">
        <f t="shared" si="33"/>
        <v>5000.7999999999993</v>
      </c>
      <c r="K102" s="286">
        <f t="shared" si="33"/>
        <v>5834.2666666666664</v>
      </c>
      <c r="L102" s="286">
        <f t="shared" si="33"/>
        <v>4167.333333333333</v>
      </c>
      <c r="M102" s="287">
        <f t="shared" si="33"/>
        <v>5000.7999999999993</v>
      </c>
      <c r="N102" s="287">
        <f t="shared" si="33"/>
        <v>5000.7999999999993</v>
      </c>
      <c r="O102" s="287">
        <f t="shared" si="33"/>
        <v>5000.7999999999993</v>
      </c>
    </row>
    <row r="103" spans="2:15" ht="15.6" x14ac:dyDescent="0.3">
      <c r="B103" s="310">
        <f t="shared" si="14"/>
        <v>123547445360902</v>
      </c>
      <c r="C103" s="285">
        <f t="shared" si="15"/>
        <v>1888</v>
      </c>
      <c r="D103" s="286" t="str">
        <f t="shared" ref="D103:O103" si="34">IF($C103="","",IF(D67="","",((D67/3)*$C103)))</f>
        <v/>
      </c>
      <c r="E103" s="286" t="str">
        <f t="shared" si="34"/>
        <v/>
      </c>
      <c r="F103" s="286" t="str">
        <f t="shared" si="34"/>
        <v/>
      </c>
      <c r="G103" s="285">
        <f t="shared" si="34"/>
        <v>1762.1333333333332</v>
      </c>
      <c r="H103" s="285">
        <f t="shared" si="34"/>
        <v>1636.2666666666667</v>
      </c>
      <c r="I103" s="285">
        <f t="shared" si="34"/>
        <v>1762.1333333333332</v>
      </c>
      <c r="J103" s="286">
        <f t="shared" si="34"/>
        <v>1510.3999999999999</v>
      </c>
      <c r="K103" s="286">
        <f t="shared" si="34"/>
        <v>1258.6666666666665</v>
      </c>
      <c r="L103" s="286">
        <f t="shared" si="34"/>
        <v>1258.6666666666665</v>
      </c>
      <c r="M103" s="287">
        <f t="shared" si="34"/>
        <v>1762.1333333333332</v>
      </c>
      <c r="N103" s="287">
        <f t="shared" si="34"/>
        <v>1762.1333333333332</v>
      </c>
      <c r="O103" s="287">
        <f t="shared" si="34"/>
        <v>1762.1333333333332</v>
      </c>
    </row>
    <row r="104" spans="2:15" ht="15.6" x14ac:dyDescent="0.3">
      <c r="B104" s="310">
        <f t="shared" si="14"/>
        <v>123562545372801</v>
      </c>
      <c r="C104" s="285">
        <f t="shared" si="15"/>
        <v>1440</v>
      </c>
      <c r="D104" s="286" t="str">
        <f t="shared" ref="D104:O104" si="35">IF($C104="","",IF(D68="","",((D68/3)*$C104)))</f>
        <v/>
      </c>
      <c r="E104" s="286" t="str">
        <f t="shared" si="35"/>
        <v/>
      </c>
      <c r="F104" s="286" t="str">
        <f t="shared" si="35"/>
        <v/>
      </c>
      <c r="G104" s="285">
        <f t="shared" si="35"/>
        <v>1343.9999999999998</v>
      </c>
      <c r="H104" s="285">
        <f t="shared" si="35"/>
        <v>1152</v>
      </c>
      <c r="I104" s="285">
        <f t="shared" si="35"/>
        <v>1248</v>
      </c>
      <c r="J104" s="286">
        <f t="shared" si="35"/>
        <v>1343.9999999999998</v>
      </c>
      <c r="K104" s="286">
        <f t="shared" si="35"/>
        <v>960</v>
      </c>
      <c r="L104" s="286">
        <f t="shared" si="35"/>
        <v>960</v>
      </c>
      <c r="M104" s="287">
        <f t="shared" si="35"/>
        <v>1343.9999999999998</v>
      </c>
      <c r="N104" s="287">
        <f t="shared" si="35"/>
        <v>1343.9999999999998</v>
      </c>
      <c r="O104" s="287">
        <f t="shared" si="35"/>
        <v>1343.9999999999998</v>
      </c>
    </row>
    <row r="105" spans="2:15" ht="15.6" x14ac:dyDescent="0.3">
      <c r="B105" s="310">
        <f t="shared" si="14"/>
        <v>123562545372802</v>
      </c>
      <c r="C105" s="285">
        <f t="shared" si="15"/>
        <v>1034</v>
      </c>
      <c r="D105" s="286" t="str">
        <f t="shared" ref="D105:O105" si="36">IF($C105="","",IF(D69="","",((D69/3)*$C105)))</f>
        <v/>
      </c>
      <c r="E105" s="286" t="str">
        <f t="shared" si="36"/>
        <v/>
      </c>
      <c r="F105" s="286" t="str">
        <f t="shared" si="36"/>
        <v/>
      </c>
      <c r="G105" s="285">
        <f t="shared" si="36"/>
        <v>965.06666666666661</v>
      </c>
      <c r="H105" s="285">
        <f t="shared" si="36"/>
        <v>896.13333333333333</v>
      </c>
      <c r="I105" s="285">
        <f t="shared" si="36"/>
        <v>896.13333333333333</v>
      </c>
      <c r="J105" s="286">
        <f t="shared" si="36"/>
        <v>827.19999999999993</v>
      </c>
      <c r="K105" s="286">
        <f t="shared" si="36"/>
        <v>827.19999999999993</v>
      </c>
      <c r="L105" s="286">
        <f t="shared" si="36"/>
        <v>827.19999999999993</v>
      </c>
      <c r="M105" s="287">
        <f t="shared" si="36"/>
        <v>965.06666666666661</v>
      </c>
      <c r="N105" s="287">
        <f t="shared" si="36"/>
        <v>965.06666666666661</v>
      </c>
      <c r="O105" s="287">
        <f t="shared" si="36"/>
        <v>965.06666666666661</v>
      </c>
    </row>
    <row r="106" spans="2:15" ht="15.6" x14ac:dyDescent="0.3">
      <c r="B106" s="310">
        <f t="shared" si="14"/>
        <v>123538845350502</v>
      </c>
      <c r="C106" s="285">
        <f t="shared" si="15"/>
        <v>800</v>
      </c>
      <c r="D106" s="286" t="str">
        <f t="shared" ref="D106:O106" si="37">IF($C106="","",IF(D70="","",((D70/3)*$C106)))</f>
        <v/>
      </c>
      <c r="E106" s="286" t="str">
        <f t="shared" si="37"/>
        <v/>
      </c>
      <c r="F106" s="286" t="str">
        <f t="shared" si="37"/>
        <v/>
      </c>
      <c r="G106" s="285" t="str">
        <f t="shared" si="37"/>
        <v/>
      </c>
      <c r="H106" s="285" t="str">
        <f t="shared" si="37"/>
        <v/>
      </c>
      <c r="I106" s="285" t="str">
        <f t="shared" si="37"/>
        <v/>
      </c>
      <c r="J106" s="286" t="str">
        <f t="shared" si="37"/>
        <v/>
      </c>
      <c r="K106" s="286" t="str">
        <f t="shared" si="37"/>
        <v/>
      </c>
      <c r="L106" s="286" t="str">
        <f t="shared" si="37"/>
        <v/>
      </c>
      <c r="M106" s="287">
        <f t="shared" si="37"/>
        <v>640</v>
      </c>
      <c r="N106" s="287">
        <f t="shared" si="37"/>
        <v>640</v>
      </c>
      <c r="O106" s="287">
        <f t="shared" si="37"/>
        <v>640</v>
      </c>
    </row>
    <row r="107" spans="2:15" ht="15.6" x14ac:dyDescent="0.3">
      <c r="B107" s="310">
        <f t="shared" si="14"/>
        <v>545</v>
      </c>
      <c r="C107" s="285">
        <f t="shared" si="15"/>
        <v>6025.7999999999993</v>
      </c>
      <c r="D107" s="286" t="str">
        <f t="shared" ref="D107:O107" si="38">IF($C107="","",IF(D71="","",((D71/3)*$C107)))</f>
        <v/>
      </c>
      <c r="E107" s="286" t="str">
        <f t="shared" si="38"/>
        <v/>
      </c>
      <c r="F107" s="286" t="str">
        <f t="shared" si="38"/>
        <v/>
      </c>
      <c r="G107" s="285">
        <f t="shared" si="38"/>
        <v>4820.6399999999994</v>
      </c>
      <c r="H107" s="285">
        <f t="shared" si="38"/>
        <v>5222.3599999999997</v>
      </c>
      <c r="I107" s="285">
        <f t="shared" si="38"/>
        <v>5624.079999999999</v>
      </c>
      <c r="J107" s="286">
        <f t="shared" si="38"/>
        <v>4017.1999999999994</v>
      </c>
      <c r="K107" s="286">
        <f t="shared" si="38"/>
        <v>5624.079999999999</v>
      </c>
      <c r="L107" s="286">
        <f t="shared" si="38"/>
        <v>4017.1999999999994</v>
      </c>
      <c r="M107" s="287">
        <f t="shared" si="38"/>
        <v>4820.6399999999994</v>
      </c>
      <c r="N107" s="287">
        <f t="shared" si="38"/>
        <v>4820.6399999999994</v>
      </c>
      <c r="O107" s="287">
        <f t="shared" si="38"/>
        <v>5624.079999999999</v>
      </c>
    </row>
    <row r="108" spans="2:15" ht="15.6" x14ac:dyDescent="0.3">
      <c r="B108" s="310">
        <f t="shared" si="14"/>
        <v>20618</v>
      </c>
      <c r="C108" s="285">
        <f t="shared" si="15"/>
        <v>4480.7299999999996</v>
      </c>
      <c r="D108" s="286" t="str">
        <f t="shared" ref="D108:O108" si="39">IF($C108="","",IF(D72="","",((D72/3)*$C108)))</f>
        <v/>
      </c>
      <c r="E108" s="286" t="str">
        <f t="shared" si="39"/>
        <v/>
      </c>
      <c r="F108" s="286" t="str">
        <f t="shared" si="39"/>
        <v/>
      </c>
      <c r="G108" s="285">
        <f t="shared" si="39"/>
        <v>3584.5839999999994</v>
      </c>
      <c r="H108" s="285">
        <f t="shared" si="39"/>
        <v>3883.2993333333329</v>
      </c>
      <c r="I108" s="285">
        <f t="shared" si="39"/>
        <v>4182.014666666666</v>
      </c>
      <c r="J108" s="286">
        <f t="shared" si="39"/>
        <v>2987.1533333333327</v>
      </c>
      <c r="K108" s="286">
        <f t="shared" si="39"/>
        <v>3584.5839999999994</v>
      </c>
      <c r="L108" s="286">
        <f t="shared" si="39"/>
        <v>2987.1533333333327</v>
      </c>
      <c r="M108" s="287">
        <f t="shared" si="39"/>
        <v>3584.5839999999994</v>
      </c>
      <c r="N108" s="287">
        <f t="shared" si="39"/>
        <v>3584.5839999999994</v>
      </c>
      <c r="O108" s="287">
        <f t="shared" si="39"/>
        <v>3584.5839999999994</v>
      </c>
    </row>
    <row r="109" spans="2:15" ht="15.6" x14ac:dyDescent="0.3">
      <c r="B109" s="310">
        <f t="shared" si="14"/>
        <v>534</v>
      </c>
      <c r="C109" s="285">
        <f t="shared" si="15"/>
        <v>15505</v>
      </c>
      <c r="D109" s="286">
        <f t="shared" ref="D109:O109" si="40">IF($C109="","",IF(D73="","",((D73/3)*$C109)))</f>
        <v>10336.666666666666</v>
      </c>
      <c r="E109" s="286">
        <f t="shared" si="40"/>
        <v>12403.999999999998</v>
      </c>
      <c r="F109" s="286">
        <f t="shared" si="40"/>
        <v>12403.999999999998</v>
      </c>
      <c r="G109" s="285">
        <f t="shared" si="40"/>
        <v>10336.666666666666</v>
      </c>
      <c r="H109" s="285">
        <f t="shared" si="40"/>
        <v>12403.999999999998</v>
      </c>
      <c r="I109" s="285">
        <f t="shared" si="40"/>
        <v>12403.999999999998</v>
      </c>
      <c r="J109" s="286">
        <f t="shared" si="40"/>
        <v>10336.666666666666</v>
      </c>
      <c r="K109" s="286">
        <f t="shared" si="40"/>
        <v>10336.666666666666</v>
      </c>
      <c r="L109" s="286">
        <f t="shared" si="40"/>
        <v>10336.666666666666</v>
      </c>
      <c r="M109" s="287">
        <f t="shared" si="40"/>
        <v>10336.666666666666</v>
      </c>
      <c r="N109" s="287">
        <f t="shared" si="40"/>
        <v>11370.333333333334</v>
      </c>
      <c r="O109" s="287">
        <f t="shared" si="40"/>
        <v>10336.666666666666</v>
      </c>
    </row>
    <row r="110" spans="2:15" ht="15.6" x14ac:dyDescent="0.3">
      <c r="B110" s="310" t="str">
        <f t="shared" si="14"/>
        <v/>
      </c>
      <c r="C110" s="285" t="str">
        <f t="shared" si="15"/>
        <v/>
      </c>
      <c r="D110" s="286" t="str">
        <f t="shared" ref="D110:O110" si="41">IF($C110="","",IF(D74="","",((D74/3)*$C110)))</f>
        <v/>
      </c>
      <c r="E110" s="286" t="str">
        <f t="shared" si="41"/>
        <v/>
      </c>
      <c r="F110" s="286" t="str">
        <f t="shared" si="41"/>
        <v/>
      </c>
      <c r="G110" s="285" t="str">
        <f t="shared" si="41"/>
        <v/>
      </c>
      <c r="H110" s="285" t="str">
        <f t="shared" si="41"/>
        <v/>
      </c>
      <c r="I110" s="285" t="str">
        <f t="shared" si="41"/>
        <v/>
      </c>
      <c r="J110" s="286" t="str">
        <f t="shared" si="41"/>
        <v/>
      </c>
      <c r="K110" s="286" t="str">
        <f t="shared" si="41"/>
        <v/>
      </c>
      <c r="L110" s="286" t="str">
        <f t="shared" si="41"/>
        <v/>
      </c>
      <c r="M110" s="287" t="str">
        <f t="shared" si="41"/>
        <v/>
      </c>
      <c r="N110" s="287" t="str">
        <f t="shared" si="41"/>
        <v/>
      </c>
      <c r="O110" s="287" t="str">
        <f t="shared" si="41"/>
        <v/>
      </c>
    </row>
    <row r="111" spans="2:15" ht="15.6" x14ac:dyDescent="0.3">
      <c r="B111" s="310" t="str">
        <f t="shared" si="14"/>
        <v/>
      </c>
      <c r="C111" s="285" t="str">
        <f t="shared" si="15"/>
        <v/>
      </c>
      <c r="D111" s="286" t="str">
        <f t="shared" ref="D111:O111" si="42">IF($C111="","",IF(D75="","",((D75/3)*$C111)))</f>
        <v/>
      </c>
      <c r="E111" s="286" t="str">
        <f t="shared" si="42"/>
        <v/>
      </c>
      <c r="F111" s="286" t="str">
        <f t="shared" si="42"/>
        <v/>
      </c>
      <c r="G111" s="285" t="str">
        <f t="shared" si="42"/>
        <v/>
      </c>
      <c r="H111" s="285" t="str">
        <f t="shared" si="42"/>
        <v/>
      </c>
      <c r="I111" s="285" t="str">
        <f t="shared" si="42"/>
        <v/>
      </c>
      <c r="J111" s="286" t="str">
        <f t="shared" si="42"/>
        <v/>
      </c>
      <c r="K111" s="286" t="str">
        <f t="shared" si="42"/>
        <v/>
      </c>
      <c r="L111" s="286" t="str">
        <f t="shared" si="42"/>
        <v/>
      </c>
      <c r="M111" s="287" t="str">
        <f t="shared" si="42"/>
        <v/>
      </c>
      <c r="N111" s="287" t="str">
        <f t="shared" si="42"/>
        <v/>
      </c>
      <c r="O111" s="287" t="str">
        <f t="shared" si="42"/>
        <v/>
      </c>
    </row>
    <row r="112" spans="2:15" ht="15.6" x14ac:dyDescent="0.3">
      <c r="B112" s="310" t="str">
        <f t="shared" si="14"/>
        <v/>
      </c>
      <c r="C112" s="285" t="str">
        <f t="shared" si="15"/>
        <v/>
      </c>
      <c r="D112" s="286" t="str">
        <f t="shared" ref="D112:O112" si="43">IF($C112="","",IF(D76="","",((D76/3)*$C112)))</f>
        <v/>
      </c>
      <c r="E112" s="286" t="str">
        <f t="shared" si="43"/>
        <v/>
      </c>
      <c r="F112" s="286" t="str">
        <f t="shared" si="43"/>
        <v/>
      </c>
      <c r="G112" s="285" t="str">
        <f t="shared" si="43"/>
        <v/>
      </c>
      <c r="H112" s="285" t="str">
        <f t="shared" si="43"/>
        <v/>
      </c>
      <c r="I112" s="285" t="str">
        <f t="shared" si="43"/>
        <v/>
      </c>
      <c r="J112" s="286" t="str">
        <f t="shared" si="43"/>
        <v/>
      </c>
      <c r="K112" s="286" t="str">
        <f t="shared" si="43"/>
        <v/>
      </c>
      <c r="L112" s="286" t="str">
        <f t="shared" si="43"/>
        <v/>
      </c>
      <c r="M112" s="287" t="str">
        <f t="shared" si="43"/>
        <v/>
      </c>
      <c r="N112" s="287" t="str">
        <f t="shared" si="43"/>
        <v/>
      </c>
      <c r="O112" s="287" t="str">
        <f t="shared" si="43"/>
        <v/>
      </c>
    </row>
    <row r="113" spans="2:15" ht="15.6" x14ac:dyDescent="0.3">
      <c r="B113" s="310" t="str">
        <f t="shared" si="14"/>
        <v/>
      </c>
      <c r="C113" s="285" t="str">
        <f t="shared" si="15"/>
        <v/>
      </c>
      <c r="D113" s="286" t="str">
        <f t="shared" ref="D113:O113" si="44">IF($C113="","",IF(D77="","",((D77/3)*$C113)))</f>
        <v/>
      </c>
      <c r="E113" s="286" t="str">
        <f t="shared" si="44"/>
        <v/>
      </c>
      <c r="F113" s="286" t="str">
        <f t="shared" si="44"/>
        <v/>
      </c>
      <c r="G113" s="285" t="str">
        <f t="shared" si="44"/>
        <v/>
      </c>
      <c r="H113" s="285" t="str">
        <f t="shared" si="44"/>
        <v/>
      </c>
      <c r="I113" s="285" t="str">
        <f t="shared" si="44"/>
        <v/>
      </c>
      <c r="J113" s="286" t="str">
        <f t="shared" si="44"/>
        <v/>
      </c>
      <c r="K113" s="286" t="str">
        <f t="shared" si="44"/>
        <v/>
      </c>
      <c r="L113" s="286" t="str">
        <f t="shared" si="44"/>
        <v/>
      </c>
      <c r="M113" s="287" t="str">
        <f t="shared" si="44"/>
        <v/>
      </c>
      <c r="N113" s="287" t="str">
        <f t="shared" si="44"/>
        <v/>
      </c>
      <c r="O113" s="287" t="str">
        <f t="shared" si="44"/>
        <v/>
      </c>
    </row>
    <row r="114" spans="2:15" ht="15.6" x14ac:dyDescent="0.3">
      <c r="B114" s="310" t="str">
        <f t="shared" si="14"/>
        <v/>
      </c>
      <c r="C114" s="285" t="str">
        <f t="shared" si="15"/>
        <v/>
      </c>
      <c r="D114" s="286" t="str">
        <f t="shared" ref="D114:O114" si="45">IF($C114="","",IF(D78="","",((D78/3)*$C114)))</f>
        <v/>
      </c>
      <c r="E114" s="286" t="str">
        <f t="shared" si="45"/>
        <v/>
      </c>
      <c r="F114" s="286" t="str">
        <f t="shared" si="45"/>
        <v/>
      </c>
      <c r="G114" s="285" t="str">
        <f t="shared" si="45"/>
        <v/>
      </c>
      <c r="H114" s="285" t="str">
        <f t="shared" si="45"/>
        <v/>
      </c>
      <c r="I114" s="285" t="str">
        <f t="shared" si="45"/>
        <v/>
      </c>
      <c r="J114" s="286" t="str">
        <f t="shared" si="45"/>
        <v/>
      </c>
      <c r="K114" s="286" t="str">
        <f t="shared" si="45"/>
        <v/>
      </c>
      <c r="L114" s="286" t="str">
        <f t="shared" si="45"/>
        <v/>
      </c>
      <c r="M114" s="287" t="str">
        <f t="shared" si="45"/>
        <v/>
      </c>
      <c r="N114" s="287" t="str">
        <f t="shared" si="45"/>
        <v/>
      </c>
      <c r="O114" s="287" t="str">
        <f t="shared" si="45"/>
        <v/>
      </c>
    </row>
    <row r="115" spans="2:15" ht="17.399999999999999" x14ac:dyDescent="0.3">
      <c r="B115" s="576" t="s">
        <v>269</v>
      </c>
      <c r="C115" s="578"/>
      <c r="D115" s="288">
        <f t="shared" ref="D115:O115" si="46">SUM(D85:D114)</f>
        <v>349016.2666666666</v>
      </c>
      <c r="E115" s="288">
        <f t="shared" si="46"/>
        <v>302700.79999999993</v>
      </c>
      <c r="F115" s="288">
        <f t="shared" si="46"/>
        <v>320156.1333333333</v>
      </c>
      <c r="G115" s="289">
        <f t="shared" si="46"/>
        <v>384944.5573333333</v>
      </c>
      <c r="H115" s="289">
        <f t="shared" si="46"/>
        <v>362000.45933333336</v>
      </c>
      <c r="I115" s="289">
        <f t="shared" si="46"/>
        <v>399826.49466666672</v>
      </c>
      <c r="J115" s="288">
        <f t="shared" si="46"/>
        <v>383250.48666666663</v>
      </c>
      <c r="K115" s="288">
        <f t="shared" si="46"/>
        <v>308047.33066666662</v>
      </c>
      <c r="L115" s="288">
        <f t="shared" si="46"/>
        <v>290599.15333333332</v>
      </c>
      <c r="M115" s="290">
        <f t="shared" si="46"/>
        <v>345652.424</v>
      </c>
      <c r="N115" s="290">
        <f t="shared" si="46"/>
        <v>346686.09066666663</v>
      </c>
      <c r="O115" s="290">
        <f t="shared" si="46"/>
        <v>346455.864</v>
      </c>
    </row>
    <row r="116" spans="2:15" ht="15.6" x14ac:dyDescent="0.3">
      <c r="B116" s="554" t="s">
        <v>180</v>
      </c>
      <c r="C116" s="555"/>
      <c r="D116" s="291">
        <f>IF(D115="","",D115*0.000247105)</f>
        <v>86.243664574666653</v>
      </c>
      <c r="E116" s="291">
        <f t="shared" ref="E116:O116" si="47">IF(E115="","",E115*0.000247105)</f>
        <v>74.798881183999981</v>
      </c>
      <c r="F116" s="291">
        <f t="shared" si="47"/>
        <v>79.112181327333332</v>
      </c>
      <c r="G116" s="292">
        <f t="shared" si="47"/>
        <v>95.121724839853329</v>
      </c>
      <c r="H116" s="292">
        <f t="shared" si="47"/>
        <v>89.452123503563342</v>
      </c>
      <c r="I116" s="292">
        <f t="shared" si="47"/>
        <v>98.799125964606688</v>
      </c>
      <c r="J116" s="291">
        <f t="shared" si="47"/>
        <v>94.703111507766664</v>
      </c>
      <c r="K116" s="291">
        <f t="shared" si="47"/>
        <v>76.120035644386661</v>
      </c>
      <c r="L116" s="291">
        <f t="shared" si="47"/>
        <v>71.808503784433327</v>
      </c>
      <c r="M116" s="293">
        <f t="shared" si="47"/>
        <v>85.412442232520007</v>
      </c>
      <c r="N116" s="293">
        <f t="shared" si="47"/>
        <v>85.667866434186664</v>
      </c>
      <c r="O116" s="293">
        <f t="shared" si="47"/>
        <v>85.610976273719999</v>
      </c>
    </row>
    <row r="118" spans="2:15" x14ac:dyDescent="0.3">
      <c r="B118" s="232"/>
      <c r="C118" s="232"/>
      <c r="D118" s="62"/>
      <c r="E118" s="62"/>
      <c r="F118" s="62"/>
    </row>
    <row r="119" spans="2:15" ht="15.75" customHeight="1" x14ac:dyDescent="0.3">
      <c r="B119" s="556" t="s">
        <v>296</v>
      </c>
      <c r="C119" s="557"/>
      <c r="D119" s="557"/>
      <c r="E119" s="557"/>
      <c r="F119" s="557"/>
      <c r="G119" s="557"/>
      <c r="H119" s="557"/>
      <c r="J119" s="558" t="s">
        <v>178</v>
      </c>
      <c r="K119" s="559"/>
      <c r="L119" s="559"/>
      <c r="M119" s="559"/>
      <c r="N119" s="559"/>
      <c r="O119" s="560"/>
    </row>
    <row r="120" spans="2:15" ht="68.25" customHeight="1" x14ac:dyDescent="0.3">
      <c r="B120" s="251"/>
      <c r="C120" s="188"/>
      <c r="D120" s="188"/>
      <c r="E120" s="294" t="s">
        <v>13</v>
      </c>
      <c r="F120" s="295" t="s">
        <v>11</v>
      </c>
      <c r="G120" s="294" t="s">
        <v>12</v>
      </c>
      <c r="H120" s="296" t="s">
        <v>423</v>
      </c>
      <c r="J120" s="534" t="s">
        <v>390</v>
      </c>
      <c r="K120" s="536"/>
      <c r="L120" s="536"/>
      <c r="M120" s="536"/>
      <c r="N120" s="535"/>
      <c r="O120" s="268" t="s">
        <v>279</v>
      </c>
    </row>
    <row r="121" spans="2:15" ht="15.6" x14ac:dyDescent="0.3">
      <c r="B121" s="527" t="s">
        <v>262</v>
      </c>
      <c r="C121" s="528"/>
      <c r="D121" s="529"/>
      <c r="E121" s="297">
        <f>IF(AND(D116="", E116="",F116=""),"",MAX($D$116:$F$116))</f>
        <v>86.243664574666653</v>
      </c>
      <c r="F121" s="298">
        <f>IF(AND(G116="",H116="",I116=""),"",MAX($G$116:$I$116))</f>
        <v>98.799125964606688</v>
      </c>
      <c r="G121" s="297">
        <f>IF(AND(J116="",K116="",L116=""),"",MAX($J$116:$L$116))</f>
        <v>94.703111507766664</v>
      </c>
      <c r="H121" s="299">
        <f>IF(AND(M116="",N116="",O116=""),"",MAX($M$116:$O$116))</f>
        <v>85.667866434186664</v>
      </c>
      <c r="J121" s="485" t="str">
        <f>IF(Passage_Status = "","",Passage_Status)</f>
        <v>Partially Blocked: Adult &amp; Juv.</v>
      </c>
      <c r="K121" s="486"/>
      <c r="L121" s="486"/>
      <c r="M121" s="486"/>
      <c r="N121" s="487"/>
      <c r="O121" s="300">
        <f>IF(Passage_Status="","",VLOOKUP(J121,'Dropdown lists'!$F$16:$G$19,2,FALSE))</f>
        <v>0.8</v>
      </c>
    </row>
    <row r="122" spans="2:15" ht="15.6" x14ac:dyDescent="0.3">
      <c r="B122" s="527" t="s">
        <v>263</v>
      </c>
      <c r="C122" s="528"/>
      <c r="D122" s="529"/>
      <c r="E122" s="297">
        <f>IF(AND(D116="", E116="",F116=""),"",MIN($D$116:$F$116))</f>
        <v>74.798881183999981</v>
      </c>
      <c r="F122" s="298">
        <f>IF(AND(G116="",H116="",I116=""),"",MIN($G$116:$I$116))</f>
        <v>89.452123503563342</v>
      </c>
      <c r="G122" s="297">
        <f>IF(AND(J116="",K116="",L116=""),"",MIN($J$116:$L$116))</f>
        <v>71.808503784433327</v>
      </c>
      <c r="H122" s="299">
        <f>IF(AND(M116="",N116="",O116=""),"",MIN($K$116:$O$116))</f>
        <v>71.808503784433327</v>
      </c>
      <c r="J122" s="530" t="s">
        <v>281</v>
      </c>
      <c r="K122" s="530"/>
      <c r="L122" s="530"/>
      <c r="M122" s="530"/>
      <c r="N122" s="530"/>
      <c r="O122" s="530"/>
    </row>
    <row r="123" spans="2:15" ht="15.6" x14ac:dyDescent="0.3">
      <c r="B123" s="102"/>
      <c r="C123" s="102"/>
      <c r="D123" s="102"/>
      <c r="E123" s="168"/>
      <c r="F123" s="168"/>
      <c r="G123" s="168"/>
      <c r="J123" s="531"/>
      <c r="K123" s="531"/>
      <c r="L123" s="531"/>
      <c r="M123" s="531"/>
      <c r="N123" s="531"/>
      <c r="O123" s="531"/>
    </row>
    <row r="124" spans="2:15" ht="25.5" customHeight="1" x14ac:dyDescent="0.3">
      <c r="D124" s="62"/>
      <c r="E124" s="62"/>
      <c r="F124" s="62"/>
      <c r="I124" s="32"/>
      <c r="J124" s="531"/>
      <c r="K124" s="531"/>
      <c r="L124" s="531"/>
      <c r="M124" s="531"/>
      <c r="N124" s="531"/>
      <c r="O124" s="531"/>
    </row>
    <row r="125" spans="2:15" ht="15.75" customHeight="1" x14ac:dyDescent="0.3">
      <c r="B125" s="556" t="s">
        <v>294</v>
      </c>
      <c r="C125" s="557"/>
      <c r="D125" s="557"/>
      <c r="E125" s="557"/>
      <c r="F125" s="557"/>
      <c r="G125" s="557"/>
      <c r="H125" s="557"/>
    </row>
    <row r="126" spans="2:15" ht="65.25" customHeight="1" x14ac:dyDescent="0.3">
      <c r="B126" s="576"/>
      <c r="C126" s="577"/>
      <c r="D126" s="578"/>
      <c r="E126" s="294" t="s">
        <v>13</v>
      </c>
      <c r="F126" s="296" t="s">
        <v>11</v>
      </c>
      <c r="G126" s="294" t="s">
        <v>12</v>
      </c>
      <c r="H126" s="296" t="s">
        <v>423</v>
      </c>
      <c r="I126" s="101"/>
      <c r="J126" s="101"/>
      <c r="K126" s="101"/>
    </row>
    <row r="127" spans="2:15" ht="15.6" x14ac:dyDescent="0.3">
      <c r="B127" s="527" t="s">
        <v>265</v>
      </c>
      <c r="C127" s="528"/>
      <c r="D127" s="529"/>
      <c r="E127" s="297">
        <f>IF(E121="","",IF(E121=0,0,E121*$O$121))</f>
        <v>68.994931659733325</v>
      </c>
      <c r="F127" s="299">
        <f t="shared" ref="F127:H128" si="48">IF(F121="","",IF(F121=0,0,F121*$O$121))</f>
        <v>79.039300771685362</v>
      </c>
      <c r="G127" s="297">
        <f t="shared" si="48"/>
        <v>75.762489206213331</v>
      </c>
      <c r="H127" s="299">
        <f t="shared" si="48"/>
        <v>68.534293147349331</v>
      </c>
    </row>
    <row r="128" spans="2:15" ht="15.6" x14ac:dyDescent="0.3">
      <c r="B128" s="527" t="s">
        <v>264</v>
      </c>
      <c r="C128" s="528"/>
      <c r="D128" s="529"/>
      <c r="E128" s="297">
        <f>IF(E122="","",IF(E122=0,0,E122*$O$121))</f>
        <v>59.839104947199985</v>
      </c>
      <c r="F128" s="299">
        <f t="shared" si="48"/>
        <v>71.561698802850671</v>
      </c>
      <c r="G128" s="297">
        <f t="shared" si="48"/>
        <v>57.446803027546665</v>
      </c>
      <c r="H128" s="299">
        <f t="shared" si="48"/>
        <v>57.446803027546665</v>
      </c>
    </row>
    <row r="129" spans="8:8" x14ac:dyDescent="0.3">
      <c r="H129" s="49"/>
    </row>
  </sheetData>
  <mergeCells count="52">
    <mergeCell ref="B125:H125"/>
    <mergeCell ref="B128:D128"/>
    <mergeCell ref="J3:T3"/>
    <mergeCell ref="S12:V12"/>
    <mergeCell ref="B46:O46"/>
    <mergeCell ref="B47:O47"/>
    <mergeCell ref="C79:O79"/>
    <mergeCell ref="C80:O80"/>
    <mergeCell ref="B126:D126"/>
    <mergeCell ref="B127:D127"/>
    <mergeCell ref="B115:C115"/>
    <mergeCell ref="B121:D121"/>
    <mergeCell ref="C12:C13"/>
    <mergeCell ref="B12:B13"/>
    <mergeCell ref="S6:X9"/>
    <mergeCell ref="B3:H3"/>
    <mergeCell ref="K2:L2"/>
    <mergeCell ref="O6:P6"/>
    <mergeCell ref="O7:P7"/>
    <mergeCell ref="O8:P8"/>
    <mergeCell ref="J8:K8"/>
    <mergeCell ref="L6:M6"/>
    <mergeCell ref="L7:M7"/>
    <mergeCell ref="B5:P5"/>
    <mergeCell ref="B6:C6"/>
    <mergeCell ref="B7:C7"/>
    <mergeCell ref="J6:K6"/>
    <mergeCell ref="J7:K7"/>
    <mergeCell ref="E6:I6"/>
    <mergeCell ref="E7:I7"/>
    <mergeCell ref="J120:N120"/>
    <mergeCell ref="B82:O82"/>
    <mergeCell ref="B83:O83"/>
    <mergeCell ref="B116:C116"/>
    <mergeCell ref="B119:H119"/>
    <mergeCell ref="J119:O119"/>
    <mergeCell ref="J121:N121"/>
    <mergeCell ref="B122:D122"/>
    <mergeCell ref="J122:O124"/>
    <mergeCell ref="O9:P9"/>
    <mergeCell ref="L8:M8"/>
    <mergeCell ref="L9:M9"/>
    <mergeCell ref="J9:K9"/>
    <mergeCell ref="E9:I9"/>
    <mergeCell ref="B9:C9"/>
    <mergeCell ref="B8:C8"/>
    <mergeCell ref="E8:I8"/>
    <mergeCell ref="B11:V11"/>
    <mergeCell ref="D12:G12"/>
    <mergeCell ref="H12:J12"/>
    <mergeCell ref="K12:O12"/>
    <mergeCell ref="P12:R12"/>
  </mergeCells>
  <printOptions horizontalCentered="1"/>
  <pageMargins left="0.25" right="0.25" top="0.75" bottom="0.75" header="0.3" footer="0.3"/>
  <pageSetup scale="56" fitToHeight="0" orientation="portrait" r:id="rId1"/>
  <headerFooter>
    <oddFooter>&amp;C&amp;P</oddFooter>
  </headerFooter>
  <ignoredErrors>
    <ignoredError sqref="N49 N50:N7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zoomScale="75" zoomScaleNormal="75" workbookViewId="0">
      <selection activeCell="I1" sqref="I1"/>
    </sheetView>
  </sheetViews>
  <sheetFormatPr defaultRowHeight="14.4" x14ac:dyDescent="0.3"/>
  <cols>
    <col min="1" max="1" width="4.6640625" style="15" customWidth="1"/>
    <col min="2" max="2" width="5.5546875" customWidth="1"/>
    <col min="3" max="3" width="8.109375" customWidth="1"/>
    <col min="4" max="4" width="8" customWidth="1"/>
    <col min="5" max="5" width="8.44140625" customWidth="1"/>
    <col min="6" max="6" width="66.5546875" customWidth="1"/>
    <col min="8" max="8" width="18.33203125" customWidth="1"/>
    <col min="9" max="9" width="53.88671875" customWidth="1"/>
  </cols>
  <sheetData>
    <row r="1" spans="2:16" s="16" customFormat="1" ht="30" customHeight="1" x14ac:dyDescent="0.3">
      <c r="B1" s="264" t="str">
        <f>CONCATENATE('Cover Page'!B1:L1," ", 'Cover Page'!B2:L2," - WEBSITE and REFERENCES")</f>
        <v>FISH PASSAGE CREDIT CALCULATOR Version 1.1 - WEBSITE and REFERENCES</v>
      </c>
      <c r="C1" s="56"/>
      <c r="D1" s="56"/>
      <c r="E1" s="56"/>
      <c r="F1" s="51"/>
      <c r="G1" s="51"/>
      <c r="H1" s="51"/>
      <c r="I1" s="59"/>
      <c r="P1" s="173"/>
    </row>
    <row r="2" spans="2:16" s="15" customFormat="1" ht="21" x14ac:dyDescent="0.4">
      <c r="B2" s="68"/>
      <c r="H2" s="24" t="s">
        <v>222</v>
      </c>
      <c r="I2"/>
    </row>
    <row r="3" spans="2:16" s="15" customFormat="1" x14ac:dyDescent="0.3">
      <c r="B3" s="24" t="s">
        <v>370</v>
      </c>
      <c r="H3" s="78" t="s">
        <v>223</v>
      </c>
      <c r="I3" s="80" t="s">
        <v>3</v>
      </c>
    </row>
    <row r="4" spans="2:16" s="15" customFormat="1" ht="28.8" x14ac:dyDescent="0.4">
      <c r="B4" s="68"/>
      <c r="C4" s="3" t="s">
        <v>372</v>
      </c>
      <c r="H4" s="81" t="s">
        <v>60</v>
      </c>
      <c r="I4" s="82" t="s">
        <v>375</v>
      </c>
    </row>
    <row r="5" spans="2:16" s="15" customFormat="1" ht="28.8" x14ac:dyDescent="0.4">
      <c r="B5" s="68"/>
      <c r="C5" s="3" t="s">
        <v>373</v>
      </c>
      <c r="H5" s="81" t="s">
        <v>70</v>
      </c>
      <c r="I5" s="82" t="s">
        <v>374</v>
      </c>
    </row>
    <row r="6" spans="2:16" s="15" customFormat="1" x14ac:dyDescent="0.3">
      <c r="H6" s="81" t="s">
        <v>69</v>
      </c>
      <c r="I6" s="82" t="s">
        <v>224</v>
      </c>
    </row>
    <row r="7" spans="2:16" ht="28.8" x14ac:dyDescent="0.3">
      <c r="B7" s="2" t="s">
        <v>22</v>
      </c>
      <c r="H7" s="81" t="s">
        <v>62</v>
      </c>
      <c r="I7" s="82" t="s">
        <v>376</v>
      </c>
    </row>
    <row r="8" spans="2:16" x14ac:dyDescent="0.3">
      <c r="C8" s="3" t="s">
        <v>75</v>
      </c>
      <c r="H8" s="81" t="s">
        <v>63</v>
      </c>
      <c r="I8" s="82" t="s">
        <v>377</v>
      </c>
    </row>
    <row r="9" spans="2:16" ht="29.25" customHeight="1" x14ac:dyDescent="0.3">
      <c r="C9" s="3" t="s">
        <v>248</v>
      </c>
      <c r="H9" s="81" t="s">
        <v>73</v>
      </c>
      <c r="I9" s="82" t="s">
        <v>378</v>
      </c>
    </row>
    <row r="10" spans="2:16" s="15" customFormat="1" ht="28.8" x14ac:dyDescent="0.3">
      <c r="H10" s="81" t="s">
        <v>380</v>
      </c>
      <c r="I10" s="82" t="s">
        <v>379</v>
      </c>
    </row>
    <row r="11" spans="2:16" x14ac:dyDescent="0.3">
      <c r="B11" s="2" t="s">
        <v>48</v>
      </c>
      <c r="H11" s="81" t="s">
        <v>61</v>
      </c>
      <c r="I11" s="82" t="s">
        <v>381</v>
      </c>
    </row>
    <row r="12" spans="2:16" x14ac:dyDescent="0.3">
      <c r="B12" s="2"/>
      <c r="C12" s="3" t="s">
        <v>47</v>
      </c>
      <c r="H12" s="81" t="s">
        <v>64</v>
      </c>
      <c r="I12" s="82" t="s">
        <v>382</v>
      </c>
    </row>
    <row r="13" spans="2:16" s="15" customFormat="1" ht="80.099999999999994" customHeight="1" x14ac:dyDescent="0.3">
      <c r="C13" s="591" t="s">
        <v>87</v>
      </c>
      <c r="D13" s="591"/>
      <c r="E13" s="591"/>
      <c r="F13" s="591"/>
      <c r="H13" s="81" t="s">
        <v>65</v>
      </c>
      <c r="I13" s="82" t="s">
        <v>54</v>
      </c>
    </row>
    <row r="14" spans="2:16" s="15" customFormat="1" ht="69.900000000000006" customHeight="1" x14ac:dyDescent="0.3">
      <c r="C14" s="591" t="s">
        <v>88</v>
      </c>
      <c r="D14" s="591"/>
      <c r="E14" s="591"/>
      <c r="F14" s="591"/>
      <c r="H14" s="81" t="s">
        <v>66</v>
      </c>
      <c r="I14" s="82" t="s">
        <v>383</v>
      </c>
    </row>
    <row r="15" spans="2:16" s="15" customFormat="1" ht="50.1" customHeight="1" x14ac:dyDescent="0.3">
      <c r="C15" s="591" t="s">
        <v>89</v>
      </c>
      <c r="D15" s="591"/>
      <c r="E15" s="591"/>
      <c r="F15" s="591"/>
      <c r="H15" s="81" t="s">
        <v>68</v>
      </c>
      <c r="I15" s="82" t="s">
        <v>384</v>
      </c>
    </row>
    <row r="16" spans="2:16" s="15" customFormat="1" ht="54.9" customHeight="1" x14ac:dyDescent="0.3">
      <c r="C16" s="591" t="s">
        <v>90</v>
      </c>
      <c r="D16" s="591"/>
      <c r="E16" s="591"/>
      <c r="F16" s="591"/>
    </row>
    <row r="17" spans="2:9" s="15" customFormat="1" ht="39.9" customHeight="1" x14ac:dyDescent="0.3">
      <c r="C17" s="591" t="s">
        <v>91</v>
      </c>
      <c r="D17" s="591"/>
      <c r="E17" s="591"/>
      <c r="F17" s="591"/>
      <c r="H17"/>
      <c r="I17"/>
    </row>
    <row r="19" spans="2:9" x14ac:dyDescent="0.3">
      <c r="B19" s="2" t="s">
        <v>23</v>
      </c>
    </row>
    <row r="20" spans="2:9" x14ac:dyDescent="0.3">
      <c r="C20" s="3" t="s">
        <v>21</v>
      </c>
    </row>
    <row r="21" spans="2:9" x14ac:dyDescent="0.3">
      <c r="C21" s="3" t="s">
        <v>24</v>
      </c>
      <c r="H21" s="15"/>
      <c r="I21" s="15"/>
    </row>
    <row r="22" spans="2:9" s="15" customFormat="1" x14ac:dyDescent="0.3">
      <c r="H22"/>
      <c r="I22"/>
    </row>
    <row r="23" spans="2:9" x14ac:dyDescent="0.3">
      <c r="B23" s="24" t="s">
        <v>25</v>
      </c>
    </row>
    <row r="24" spans="2:9" x14ac:dyDescent="0.3">
      <c r="C24" s="4" t="s">
        <v>92</v>
      </c>
    </row>
    <row r="25" spans="2:9" x14ac:dyDescent="0.3">
      <c r="B25" s="5"/>
    </row>
    <row r="26" spans="2:9" x14ac:dyDescent="0.3">
      <c r="B26" s="24" t="s">
        <v>246</v>
      </c>
      <c r="H26" s="84"/>
      <c r="I26" s="85"/>
    </row>
    <row r="27" spans="2:9" s="15" customFormat="1" x14ac:dyDescent="0.3">
      <c r="C27" s="3" t="s">
        <v>247</v>
      </c>
      <c r="H27" s="84"/>
      <c r="I27" s="85"/>
    </row>
    <row r="28" spans="2:9" s="15" customFormat="1" x14ac:dyDescent="0.3">
      <c r="H28"/>
      <c r="I28"/>
    </row>
    <row r="29" spans="2:9" ht="18" x14ac:dyDescent="0.35">
      <c r="B29" s="69" t="s">
        <v>42</v>
      </c>
    </row>
    <row r="30" spans="2:9" ht="75" customHeight="1" x14ac:dyDescent="0.3">
      <c r="C30" s="371" t="s">
        <v>93</v>
      </c>
      <c r="D30" s="371"/>
      <c r="E30" s="371"/>
      <c r="F30" s="371"/>
    </row>
    <row r="31" spans="2:9" ht="50.1" customHeight="1" x14ac:dyDescent="0.3">
      <c r="C31" s="371" t="s">
        <v>385</v>
      </c>
      <c r="D31" s="371"/>
      <c r="E31" s="371"/>
      <c r="F31" s="371"/>
    </row>
    <row r="32" spans="2:9" s="15" customFormat="1" ht="50.1" customHeight="1" x14ac:dyDescent="0.3">
      <c r="C32" s="371" t="s">
        <v>387</v>
      </c>
      <c r="D32" s="371"/>
      <c r="E32" s="371"/>
      <c r="F32" s="371"/>
    </row>
    <row r="33" spans="3:6" ht="50.1" customHeight="1" x14ac:dyDescent="0.3">
      <c r="C33" s="371" t="s">
        <v>43</v>
      </c>
      <c r="D33" s="371"/>
      <c r="E33" s="371"/>
      <c r="F33" s="371"/>
    </row>
    <row r="34" spans="3:6" ht="50.1" customHeight="1" x14ac:dyDescent="0.3">
      <c r="C34" s="371" t="s">
        <v>44</v>
      </c>
      <c r="D34" s="371"/>
      <c r="E34" s="371"/>
      <c r="F34" s="371"/>
    </row>
    <row r="35" spans="3:6" ht="35.1" customHeight="1" x14ac:dyDescent="0.3">
      <c r="C35" s="371" t="s">
        <v>45</v>
      </c>
      <c r="D35" s="371"/>
      <c r="E35" s="371"/>
      <c r="F35" s="371"/>
    </row>
    <row r="36" spans="3:6" ht="50.1" customHeight="1" x14ac:dyDescent="0.3">
      <c r="C36" s="371" t="s">
        <v>46</v>
      </c>
      <c r="D36" s="371"/>
      <c r="E36" s="371"/>
      <c r="F36" s="371"/>
    </row>
    <row r="37" spans="3:6" ht="50.1" customHeight="1" x14ac:dyDescent="0.3">
      <c r="C37" s="371" t="s">
        <v>49</v>
      </c>
      <c r="D37" s="371"/>
      <c r="E37" s="371"/>
      <c r="F37" s="371"/>
    </row>
    <row r="38" spans="3:6" s="15" customFormat="1" ht="65.099999999999994" customHeight="1" x14ac:dyDescent="0.3">
      <c r="C38" s="371" t="s">
        <v>386</v>
      </c>
      <c r="D38" s="371"/>
      <c r="E38" s="371"/>
      <c r="F38" s="371"/>
    </row>
    <row r="39" spans="3:6" s="15" customFormat="1" ht="35.1" customHeight="1" x14ac:dyDescent="0.3">
      <c r="C39" s="371" t="s">
        <v>388</v>
      </c>
      <c r="D39" s="371"/>
      <c r="E39" s="371"/>
      <c r="F39" s="371"/>
    </row>
    <row r="40" spans="3:6" ht="80.099999999999994" customHeight="1" x14ac:dyDescent="0.3">
      <c r="C40" s="371" t="s">
        <v>50</v>
      </c>
      <c r="D40" s="371"/>
      <c r="E40" s="371"/>
      <c r="F40" s="371"/>
    </row>
  </sheetData>
  <mergeCells count="16">
    <mergeCell ref="C30:F30"/>
    <mergeCell ref="C13:F13"/>
    <mergeCell ref="C14:F14"/>
    <mergeCell ref="C15:F15"/>
    <mergeCell ref="C16:F16"/>
    <mergeCell ref="C17:F17"/>
    <mergeCell ref="C31:F31"/>
    <mergeCell ref="C32:F32"/>
    <mergeCell ref="C37:F37"/>
    <mergeCell ref="C38:F38"/>
    <mergeCell ref="C40:F40"/>
    <mergeCell ref="C33:F33"/>
    <mergeCell ref="C34:F34"/>
    <mergeCell ref="C35:F35"/>
    <mergeCell ref="C36:F36"/>
    <mergeCell ref="C39:F39"/>
  </mergeCells>
  <hyperlinks>
    <hyperlink ref="C24" r:id="rId1" display="http://www.dfw.state.or.us/wildlife/diversity/species/threatened_endangered_candidate_list.asp"/>
    <hyperlink ref="C21" r:id="rId2"/>
    <hyperlink ref="C20" r:id="rId3"/>
    <hyperlink ref="C8" r:id="rId4"/>
    <hyperlink ref="C27" r:id="rId5"/>
    <hyperlink ref="C9" r:id="rId6"/>
    <hyperlink ref="C12" r:id="rId7"/>
    <hyperlink ref="C4" r:id="rId8"/>
  </hyperlinks>
  <printOptions horizontalCentered="1"/>
  <pageMargins left="0.25" right="0.25" top="0.5" bottom="0.5" header="0.3" footer="0.3"/>
  <pageSetup scale="54" orientation="portrait" r:id="rId9"/>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zoomScale="75" zoomScaleNormal="75" workbookViewId="0">
      <selection activeCell="D5" sqref="D5"/>
    </sheetView>
  </sheetViews>
  <sheetFormatPr defaultRowHeight="14.4" x14ac:dyDescent="0.3"/>
  <cols>
    <col min="1" max="1" width="4.6640625" style="15" customWidth="1"/>
    <col min="2" max="2" width="120.88671875" customWidth="1"/>
    <col min="3" max="3" width="12.6640625" customWidth="1"/>
    <col min="9" max="9" width="11.33203125" bestFit="1" customWidth="1"/>
    <col min="11" max="11" width="10.33203125" bestFit="1" customWidth="1"/>
    <col min="12" max="12" width="10" bestFit="1" customWidth="1"/>
    <col min="13" max="13" width="11" bestFit="1" customWidth="1"/>
    <col min="14" max="14" width="5.6640625" bestFit="1" customWidth="1"/>
    <col min="15" max="15" width="6.6640625" bestFit="1" customWidth="1"/>
    <col min="16" max="16" width="7.33203125" bestFit="1" customWidth="1"/>
    <col min="17" max="17" width="8" bestFit="1" customWidth="1"/>
    <col min="18" max="18" width="10.5546875" bestFit="1" customWidth="1"/>
    <col min="20" max="20" width="10.6640625" bestFit="1" customWidth="1"/>
    <col min="21" max="21" width="11.109375" bestFit="1" customWidth="1"/>
    <col min="22" max="22" width="14.5546875" bestFit="1" customWidth="1"/>
    <col min="23" max="23" width="17.33203125" bestFit="1" customWidth="1"/>
  </cols>
  <sheetData>
    <row r="1" spans="2:24" s="15" customFormat="1" ht="30" customHeight="1" x14ac:dyDescent="0.3">
      <c r="B1" s="264" t="str">
        <f>CONCATENATE('Cover Page'!B1:L1," ", 'Cover Page'!B2:L2," - HabRate SUMMARY")</f>
        <v>FISH PASSAGE CREDIT CALCULATOR Version 1.1 - HabRate SUMMARY</v>
      </c>
      <c r="F1" s="59"/>
    </row>
    <row r="2" spans="2:24" s="15" customFormat="1" ht="21" x14ac:dyDescent="0.4">
      <c r="B2" s="68"/>
    </row>
    <row r="3" spans="2:24" ht="17.399999999999999" x14ac:dyDescent="0.3">
      <c r="B3" s="245" t="s">
        <v>36</v>
      </c>
      <c r="C3" s="246"/>
    </row>
    <row r="4" spans="2:24" ht="17.399999999999999" x14ac:dyDescent="0.3">
      <c r="B4" s="245" t="s">
        <v>37</v>
      </c>
      <c r="C4" s="247"/>
      <c r="M4" s="7"/>
      <c r="N4" s="11"/>
      <c r="O4" s="11"/>
      <c r="P4" s="11"/>
      <c r="Q4" s="11"/>
      <c r="R4" s="11"/>
      <c r="S4" s="11"/>
      <c r="T4" s="11"/>
      <c r="U4" s="11"/>
      <c r="V4" s="11"/>
      <c r="W4" s="11"/>
      <c r="X4" s="11"/>
    </row>
    <row r="5" spans="2:24" ht="80.099999999999994" customHeight="1" x14ac:dyDescent="0.3">
      <c r="B5" s="248" t="s">
        <v>38</v>
      </c>
      <c r="C5" s="249"/>
      <c r="D5" s="2"/>
      <c r="F5" s="8"/>
      <c r="G5" s="8"/>
      <c r="H5" s="8"/>
      <c r="I5" s="8"/>
      <c r="J5" s="9"/>
      <c r="K5" s="9"/>
      <c r="L5" s="9"/>
      <c r="M5" s="9"/>
      <c r="N5" s="11"/>
      <c r="O5" s="11"/>
      <c r="P5" s="11"/>
      <c r="Q5" s="11"/>
      <c r="R5" s="11"/>
      <c r="S5" s="11"/>
      <c r="T5" s="11"/>
      <c r="U5" s="11"/>
      <c r="V5" s="11"/>
      <c r="W5" s="11"/>
      <c r="X5" s="11"/>
    </row>
    <row r="6" spans="2:24" x14ac:dyDescent="0.3">
      <c r="F6" s="10"/>
      <c r="G6" s="10"/>
      <c r="H6" s="10"/>
      <c r="I6" s="10"/>
      <c r="J6" s="11"/>
      <c r="K6" s="11"/>
      <c r="L6" s="11"/>
      <c r="M6" s="11"/>
      <c r="N6" s="11"/>
      <c r="O6" s="11"/>
      <c r="P6" s="11"/>
      <c r="Q6" s="11"/>
      <c r="R6" s="11"/>
      <c r="S6" s="11"/>
      <c r="T6" s="12"/>
      <c r="U6" s="10"/>
      <c r="V6" s="10"/>
      <c r="W6" s="8"/>
    </row>
    <row r="7" spans="2:24" ht="399.9" customHeight="1" x14ac:dyDescent="0.3">
      <c r="B7" s="250" t="s">
        <v>39</v>
      </c>
    </row>
    <row r="8" spans="2:24" ht="45" x14ac:dyDescent="0.3">
      <c r="B8" s="6" t="s">
        <v>40</v>
      </c>
    </row>
    <row r="9" spans="2:24" x14ac:dyDescent="0.3">
      <c r="B9" s="3" t="s">
        <v>189</v>
      </c>
    </row>
    <row r="11" spans="2:24" ht="60" customHeight="1" x14ac:dyDescent="0.3">
      <c r="B11" s="14" t="s">
        <v>94</v>
      </c>
    </row>
  </sheetData>
  <hyperlinks>
    <hyperlink ref="B9" r:id="rId1"/>
  </hyperlinks>
  <pageMargins left="0.5" right="0.5" top="0.5" bottom="0.5" header="0.3" footer="0.3"/>
  <pageSetup orientation="portrait" r:id="rId2"/>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56"/>
  <sheetViews>
    <sheetView topLeftCell="A7" zoomScale="75" zoomScaleNormal="75" workbookViewId="0">
      <selection activeCell="F35" sqref="F35:G41"/>
    </sheetView>
  </sheetViews>
  <sheetFormatPr defaultColWidth="9.109375" defaultRowHeight="15.6" x14ac:dyDescent="0.3"/>
  <cols>
    <col min="1" max="1" width="4.6640625" style="87" customWidth="1"/>
    <col min="2" max="2" width="9.109375" style="87"/>
    <col min="3" max="3" width="21.5546875" style="87" bestFit="1" customWidth="1"/>
    <col min="4" max="4" width="9.109375" style="87"/>
    <col min="5" max="5" width="10.109375" style="87" bestFit="1" customWidth="1"/>
    <col min="6" max="6" width="29.44140625" style="87" customWidth="1"/>
    <col min="7" max="7" width="19.5546875" style="87" customWidth="1"/>
    <col min="8" max="8" width="9.44140625" style="87" customWidth="1"/>
    <col min="9" max="9" width="14.88671875" style="87" customWidth="1"/>
    <col min="10" max="10" width="12.5546875" style="87" customWidth="1"/>
    <col min="11" max="11" width="4.109375" style="87" customWidth="1"/>
    <col min="12" max="12" width="14.5546875" style="87" customWidth="1"/>
    <col min="13" max="13" width="9.109375" style="87"/>
    <col min="14" max="14" width="4.33203125" style="87" customWidth="1"/>
    <col min="15" max="15" width="14.109375" style="87" customWidth="1"/>
    <col min="16" max="16" width="9.109375" style="87"/>
    <col min="17" max="17" width="6.5546875" style="87" customWidth="1"/>
    <col min="18" max="18" width="22.44140625" style="87" customWidth="1"/>
    <col min="19" max="16384" width="9.109375" style="87"/>
  </cols>
  <sheetData>
    <row r="1" spans="2:17" s="16" customFormat="1" ht="30" customHeight="1" x14ac:dyDescent="0.3">
      <c r="B1" s="264" t="str">
        <f>CONCATENATE('Cover Page'!B1:L1," ", 'Cover Page'!B2:L2," - DROPDOWN LISTS")</f>
        <v>FISH PASSAGE CREDIT CALCULATOR Version 1.1 - DROPDOWN LISTS</v>
      </c>
      <c r="D1" s="52"/>
      <c r="E1" s="51"/>
      <c r="F1" s="51"/>
      <c r="G1" s="51"/>
      <c r="H1" s="51"/>
      <c r="I1" s="59"/>
      <c r="Q1" s="173"/>
    </row>
    <row r="2" spans="2:17" s="16" customFormat="1" ht="17.25" customHeight="1" x14ac:dyDescent="0.3">
      <c r="B2" s="59"/>
      <c r="D2" s="52"/>
      <c r="E2" s="51"/>
      <c r="F2" s="51"/>
      <c r="G2" s="51"/>
      <c r="H2" s="51"/>
      <c r="I2" s="59"/>
      <c r="Q2" s="173"/>
    </row>
    <row r="3" spans="2:17" x14ac:dyDescent="0.3">
      <c r="B3" s="198" t="s">
        <v>150</v>
      </c>
      <c r="C3" s="199"/>
      <c r="D3" s="199"/>
      <c r="E3" s="199"/>
      <c r="F3" s="199"/>
    </row>
    <row r="5" spans="2:17" x14ac:dyDescent="0.3">
      <c r="C5" s="200" t="s">
        <v>297</v>
      </c>
      <c r="D5" s="200"/>
      <c r="E5" s="200"/>
      <c r="F5" s="200"/>
    </row>
    <row r="6" spans="2:17" x14ac:dyDescent="0.3">
      <c r="C6" s="201"/>
      <c r="D6" s="202"/>
      <c r="E6" s="201"/>
      <c r="F6" s="201"/>
      <c r="G6" s="201"/>
    </row>
    <row r="7" spans="2:17" x14ac:dyDescent="0.3">
      <c r="C7" s="203" t="s">
        <v>298</v>
      </c>
      <c r="D7" s="597" t="s">
        <v>303</v>
      </c>
      <c r="E7" s="597"/>
      <c r="F7" s="204"/>
      <c r="G7" s="204"/>
      <c r="H7" s="202"/>
      <c r="I7" s="202"/>
    </row>
    <row r="8" spans="2:17" x14ac:dyDescent="0.3">
      <c r="C8" s="203"/>
      <c r="D8" s="598"/>
      <c r="E8" s="599"/>
      <c r="F8" s="204"/>
      <c r="G8" s="204"/>
      <c r="H8" s="202"/>
      <c r="I8" s="202"/>
    </row>
    <row r="9" spans="2:17" x14ac:dyDescent="0.3">
      <c r="C9" s="205" t="s">
        <v>299</v>
      </c>
      <c r="D9" s="597" t="s">
        <v>301</v>
      </c>
      <c r="E9" s="597"/>
      <c r="F9" s="206"/>
      <c r="G9" s="207"/>
      <c r="H9" s="202"/>
      <c r="I9" s="204"/>
      <c r="L9" s="201"/>
    </row>
    <row r="10" spans="2:17" x14ac:dyDescent="0.3">
      <c r="C10" s="205" t="s">
        <v>300</v>
      </c>
      <c r="D10" s="597" t="s">
        <v>302</v>
      </c>
      <c r="E10" s="597"/>
      <c r="F10" s="206"/>
      <c r="G10" s="207"/>
      <c r="H10" s="202"/>
      <c r="I10" s="202"/>
      <c r="L10" s="201"/>
    </row>
    <row r="11" spans="2:17" x14ac:dyDescent="0.3">
      <c r="D11" s="91"/>
    </row>
    <row r="12" spans="2:17" x14ac:dyDescent="0.3">
      <c r="C12" s="200" t="s">
        <v>309</v>
      </c>
      <c r="D12" s="200"/>
      <c r="E12" s="200"/>
      <c r="F12" s="200"/>
    </row>
    <row r="13" spans="2:17" x14ac:dyDescent="0.3">
      <c r="C13" s="201"/>
      <c r="D13" s="201"/>
      <c r="E13" s="201"/>
      <c r="F13" s="201"/>
      <c r="G13" s="201"/>
    </row>
    <row r="14" spans="2:17" x14ac:dyDescent="0.3">
      <c r="F14" s="208" t="s">
        <v>278</v>
      </c>
    </row>
    <row r="15" spans="2:17" x14ac:dyDescent="0.3">
      <c r="C15" s="594" t="s">
        <v>20</v>
      </c>
      <c r="D15" s="594"/>
      <c r="F15" s="209" t="s">
        <v>20</v>
      </c>
      <c r="G15" s="210" t="s">
        <v>277</v>
      </c>
      <c r="I15" s="211" t="s">
        <v>17</v>
      </c>
    </row>
    <row r="16" spans="2:17" x14ac:dyDescent="0.3">
      <c r="C16" s="382"/>
      <c r="D16" s="382"/>
      <c r="F16" s="212" t="s">
        <v>16</v>
      </c>
      <c r="G16" s="213">
        <v>1</v>
      </c>
      <c r="I16" s="214"/>
      <c r="L16" s="215"/>
    </row>
    <row r="17" spans="3:15" x14ac:dyDescent="0.3">
      <c r="C17" s="595" t="s">
        <v>16</v>
      </c>
      <c r="D17" s="596"/>
      <c r="F17" s="212" t="s">
        <v>261</v>
      </c>
      <c r="G17" s="213">
        <v>0.8</v>
      </c>
      <c r="I17" s="214" t="s">
        <v>18</v>
      </c>
      <c r="L17" s="201"/>
    </row>
    <row r="18" spans="3:15" x14ac:dyDescent="0.3">
      <c r="C18" s="595" t="s">
        <v>261</v>
      </c>
      <c r="D18" s="596"/>
      <c r="F18" s="212" t="s">
        <v>282</v>
      </c>
      <c r="G18" s="213">
        <v>0.6</v>
      </c>
      <c r="L18" s="201"/>
    </row>
    <row r="19" spans="3:15" x14ac:dyDescent="0.3">
      <c r="C19" s="595" t="s">
        <v>282</v>
      </c>
      <c r="D19" s="596"/>
      <c r="F19" s="212"/>
      <c r="G19" s="210"/>
    </row>
    <row r="21" spans="3:15" x14ac:dyDescent="0.3">
      <c r="C21" s="200" t="s">
        <v>276</v>
      </c>
      <c r="D21" s="200"/>
      <c r="E21" s="200"/>
      <c r="F21" s="200"/>
    </row>
    <row r="22" spans="3:15" x14ac:dyDescent="0.3">
      <c r="C22" s="201"/>
      <c r="D22" s="201"/>
      <c r="E22" s="201"/>
      <c r="F22" s="201"/>
    </row>
    <row r="23" spans="3:15" ht="35.25" customHeight="1" x14ac:dyDescent="0.3">
      <c r="C23" s="592" t="s">
        <v>63</v>
      </c>
      <c r="D23" s="593"/>
      <c r="F23" s="592" t="s">
        <v>125</v>
      </c>
      <c r="G23" s="593"/>
      <c r="I23" s="601" t="s">
        <v>149</v>
      </c>
      <c r="J23" s="602"/>
    </row>
    <row r="24" spans="3:15" x14ac:dyDescent="0.3">
      <c r="C24" s="216" t="s">
        <v>96</v>
      </c>
      <c r="D24" s="216" t="s">
        <v>143</v>
      </c>
      <c r="F24" s="216" t="s">
        <v>96</v>
      </c>
      <c r="G24" s="216" t="s">
        <v>143</v>
      </c>
      <c r="I24" s="217" t="s">
        <v>123</v>
      </c>
      <c r="J24" s="217" t="s">
        <v>124</v>
      </c>
      <c r="K24" s="600"/>
      <c r="L24" s="600"/>
      <c r="M24" s="600"/>
      <c r="N24" s="600"/>
      <c r="O24" s="600"/>
    </row>
    <row r="25" spans="3:15" x14ac:dyDescent="0.3">
      <c r="C25" s="216"/>
      <c r="D25" s="216"/>
      <c r="F25" s="216"/>
      <c r="G25" s="218"/>
      <c r="I25" s="216" t="s">
        <v>120</v>
      </c>
      <c r="J25" s="214">
        <v>1</v>
      </c>
      <c r="L25" s="100"/>
      <c r="M25" s="100"/>
    </row>
    <row r="26" spans="3:15" x14ac:dyDescent="0.3">
      <c r="C26" s="219" t="s">
        <v>138</v>
      </c>
      <c r="D26" s="218">
        <v>1</v>
      </c>
      <c r="F26" s="216" t="s">
        <v>126</v>
      </c>
      <c r="G26" s="218">
        <v>1</v>
      </c>
      <c r="I26" s="216" t="s">
        <v>121</v>
      </c>
      <c r="J26" s="214">
        <v>2</v>
      </c>
      <c r="L26" s="100"/>
      <c r="M26" s="220"/>
    </row>
    <row r="27" spans="3:15" x14ac:dyDescent="0.3">
      <c r="C27" s="219" t="s">
        <v>127</v>
      </c>
      <c r="D27" s="218">
        <v>0.6</v>
      </c>
      <c r="F27" s="216" t="s">
        <v>128</v>
      </c>
      <c r="G27" s="218">
        <v>0.75</v>
      </c>
      <c r="I27" s="216" t="s">
        <v>122</v>
      </c>
      <c r="J27" s="214">
        <v>3</v>
      </c>
      <c r="L27" s="100"/>
      <c r="M27" s="220"/>
    </row>
    <row r="28" spans="3:15" x14ac:dyDescent="0.3">
      <c r="C28" s="219" t="s">
        <v>144</v>
      </c>
      <c r="D28" s="218">
        <v>0.3</v>
      </c>
      <c r="F28" s="216" t="s">
        <v>129</v>
      </c>
      <c r="G28" s="218">
        <v>0.5</v>
      </c>
      <c r="L28" s="221"/>
      <c r="M28" s="220"/>
    </row>
    <row r="29" spans="3:15" x14ac:dyDescent="0.3">
      <c r="C29" s="222" t="s">
        <v>145</v>
      </c>
      <c r="D29" s="218">
        <v>1</v>
      </c>
      <c r="F29" s="216" t="s">
        <v>130</v>
      </c>
      <c r="G29" s="218">
        <v>0.25</v>
      </c>
      <c r="L29" s="100"/>
      <c r="M29" s="220"/>
    </row>
    <row r="30" spans="3:15" x14ac:dyDescent="0.3">
      <c r="F30" s="222" t="s">
        <v>145</v>
      </c>
      <c r="G30" s="223">
        <v>1</v>
      </c>
    </row>
    <row r="33" spans="2:19" x14ac:dyDescent="0.3">
      <c r="C33" s="200" t="s">
        <v>151</v>
      </c>
      <c r="D33" s="200"/>
      <c r="E33" s="200"/>
      <c r="F33" s="200"/>
    </row>
    <row r="34" spans="2:19" x14ac:dyDescent="0.3">
      <c r="C34" s="201"/>
      <c r="D34" s="201"/>
      <c r="E34" s="201"/>
      <c r="F34" s="201"/>
    </row>
    <row r="35" spans="2:19" x14ac:dyDescent="0.3">
      <c r="C35" s="592" t="s">
        <v>274</v>
      </c>
      <c r="D35" s="593"/>
      <c r="F35" s="592" t="s">
        <v>153</v>
      </c>
      <c r="G35" s="593"/>
      <c r="I35" s="592" t="s">
        <v>275</v>
      </c>
      <c r="J35" s="593"/>
    </row>
    <row r="36" spans="2:19" x14ac:dyDescent="0.3">
      <c r="C36" s="216" t="s">
        <v>96</v>
      </c>
      <c r="D36" s="216" t="s">
        <v>143</v>
      </c>
      <c r="F36" s="216" t="s">
        <v>96</v>
      </c>
      <c r="G36" s="216" t="s">
        <v>143</v>
      </c>
      <c r="I36" s="216" t="s">
        <v>96</v>
      </c>
      <c r="J36" s="216" t="s">
        <v>143</v>
      </c>
    </row>
    <row r="37" spans="2:19" x14ac:dyDescent="0.3">
      <c r="C37" s="216"/>
      <c r="D37" s="216"/>
      <c r="F37" s="216"/>
      <c r="G37" s="216"/>
      <c r="I37" s="216"/>
      <c r="J37" s="216"/>
    </row>
    <row r="38" spans="2:19" x14ac:dyDescent="0.3">
      <c r="C38" s="216" t="s">
        <v>138</v>
      </c>
      <c r="D38" s="218">
        <v>1</v>
      </c>
      <c r="F38" s="217" t="s">
        <v>115</v>
      </c>
      <c r="G38" s="218">
        <v>1</v>
      </c>
      <c r="I38" s="214" t="s">
        <v>15</v>
      </c>
      <c r="J38" s="218">
        <v>1</v>
      </c>
    </row>
    <row r="39" spans="2:19" x14ac:dyDescent="0.3">
      <c r="C39" s="216" t="s">
        <v>140</v>
      </c>
      <c r="D39" s="218">
        <v>0.75</v>
      </c>
      <c r="F39" s="217" t="s">
        <v>116</v>
      </c>
      <c r="G39" s="218">
        <v>0.6</v>
      </c>
      <c r="I39" s="214" t="s">
        <v>14</v>
      </c>
      <c r="J39" s="218">
        <v>0.25</v>
      </c>
    </row>
    <row r="40" spans="2:19" x14ac:dyDescent="0.3">
      <c r="C40" s="216" t="s">
        <v>152</v>
      </c>
      <c r="D40" s="218">
        <v>0.5</v>
      </c>
      <c r="F40" s="217" t="s">
        <v>117</v>
      </c>
      <c r="G40" s="218">
        <v>0.3</v>
      </c>
    </row>
    <row r="41" spans="2:19" x14ac:dyDescent="0.3">
      <c r="C41" s="216" t="s">
        <v>142</v>
      </c>
      <c r="D41" s="218">
        <v>0.25</v>
      </c>
      <c r="F41" s="202"/>
      <c r="G41" s="202"/>
      <c r="R41" s="91"/>
      <c r="S41" s="225"/>
    </row>
    <row r="42" spans="2:19" x14ac:dyDescent="0.3">
      <c r="C42" s="222" t="s">
        <v>145</v>
      </c>
      <c r="D42" s="223">
        <v>1</v>
      </c>
      <c r="F42" s="202"/>
      <c r="G42" s="202"/>
      <c r="R42" s="91"/>
      <c r="S42" s="91"/>
    </row>
    <row r="43" spans="2:19" x14ac:dyDescent="0.3">
      <c r="F43" s="91"/>
      <c r="G43" s="91"/>
    </row>
    <row r="44" spans="2:19" x14ac:dyDescent="0.3">
      <c r="C44" s="592" t="s">
        <v>273</v>
      </c>
      <c r="D44" s="593"/>
      <c r="F44" s="592" t="s">
        <v>136</v>
      </c>
      <c r="G44" s="593"/>
      <c r="I44" s="224" t="s">
        <v>131</v>
      </c>
    </row>
    <row r="45" spans="2:19" x14ac:dyDescent="0.3">
      <c r="B45" s="91"/>
      <c r="C45" s="216" t="s">
        <v>96</v>
      </c>
      <c r="D45" s="216" t="s">
        <v>143</v>
      </c>
      <c r="F45" s="216" t="s">
        <v>96</v>
      </c>
      <c r="G45" s="216" t="s">
        <v>143</v>
      </c>
      <c r="H45" s="91"/>
      <c r="I45" s="216" t="s">
        <v>96</v>
      </c>
      <c r="J45" s="216" t="s">
        <v>143</v>
      </c>
    </row>
    <row r="46" spans="2:19" x14ac:dyDescent="0.3">
      <c r="B46" s="91"/>
      <c r="C46" s="216"/>
      <c r="D46" s="216"/>
      <c r="F46" s="216"/>
      <c r="G46" s="216"/>
      <c r="H46" s="91"/>
      <c r="I46" s="216"/>
      <c r="J46" s="216"/>
    </row>
    <row r="47" spans="2:19" ht="17.399999999999999" x14ac:dyDescent="0.3">
      <c r="B47" s="91"/>
      <c r="C47" s="216" t="s">
        <v>137</v>
      </c>
      <c r="D47" s="218">
        <v>1</v>
      </c>
      <c r="F47" s="216" t="s">
        <v>305</v>
      </c>
      <c r="G47" s="218">
        <v>1</v>
      </c>
      <c r="H47" s="91"/>
      <c r="I47" s="216" t="s">
        <v>132</v>
      </c>
      <c r="J47" s="218">
        <v>1</v>
      </c>
    </row>
    <row r="48" spans="2:19" ht="17.399999999999999" x14ac:dyDescent="0.3">
      <c r="B48" s="91"/>
      <c r="C48" s="216" t="s">
        <v>139</v>
      </c>
      <c r="D48" s="218">
        <v>0.6</v>
      </c>
      <c r="F48" s="216" t="s">
        <v>306</v>
      </c>
      <c r="G48" s="218">
        <v>0.6</v>
      </c>
      <c r="H48" s="91"/>
      <c r="I48" s="216" t="s">
        <v>133</v>
      </c>
      <c r="J48" s="218">
        <v>0.6</v>
      </c>
    </row>
    <row r="49" spans="2:10" ht="17.399999999999999" x14ac:dyDescent="0.3">
      <c r="B49" s="91"/>
      <c r="C49" s="226" t="s">
        <v>141</v>
      </c>
      <c r="D49" s="218">
        <v>0.3</v>
      </c>
      <c r="F49" s="216" t="s">
        <v>307</v>
      </c>
      <c r="G49" s="218">
        <v>0.3</v>
      </c>
      <c r="H49" s="91"/>
      <c r="I49" s="216" t="s">
        <v>134</v>
      </c>
      <c r="J49" s="218">
        <v>0.3</v>
      </c>
    </row>
    <row r="50" spans="2:10" x14ac:dyDescent="0.3">
      <c r="B50" s="91"/>
      <c r="C50" s="216" t="s">
        <v>145</v>
      </c>
      <c r="D50" s="218">
        <v>1</v>
      </c>
      <c r="F50" s="91"/>
      <c r="G50" s="225"/>
      <c r="H50" s="91"/>
      <c r="I50" s="91"/>
    </row>
    <row r="51" spans="2:10" x14ac:dyDescent="0.3">
      <c r="B51" s="91"/>
      <c r="H51" s="91"/>
      <c r="I51" s="91"/>
    </row>
    <row r="52" spans="2:10" x14ac:dyDescent="0.3">
      <c r="B52" s="91"/>
      <c r="C52" s="91"/>
      <c r="D52" s="91"/>
      <c r="E52" s="91"/>
      <c r="F52" s="227"/>
      <c r="G52" s="91"/>
      <c r="H52" s="91"/>
      <c r="I52" s="91"/>
    </row>
    <row r="53" spans="2:10" x14ac:dyDescent="0.3">
      <c r="B53" s="91"/>
      <c r="C53" s="91"/>
      <c r="D53" s="91"/>
      <c r="E53" s="91"/>
      <c r="F53" s="91"/>
      <c r="G53" s="91"/>
      <c r="H53" s="91"/>
      <c r="I53" s="91"/>
    </row>
    <row r="54" spans="2:10" x14ac:dyDescent="0.3">
      <c r="B54" s="91"/>
      <c r="C54" s="91"/>
      <c r="D54" s="91"/>
      <c r="E54" s="91"/>
      <c r="F54" s="91"/>
      <c r="G54" s="91"/>
      <c r="H54" s="91"/>
      <c r="I54" s="91"/>
    </row>
    <row r="55" spans="2:10" x14ac:dyDescent="0.3">
      <c r="B55" s="91"/>
      <c r="C55" s="228"/>
      <c r="D55" s="91"/>
      <c r="E55" s="91"/>
      <c r="F55" s="91"/>
      <c r="G55" s="91"/>
      <c r="H55" s="91"/>
      <c r="I55" s="91"/>
    </row>
    <row r="56" spans="2:10" x14ac:dyDescent="0.3">
      <c r="B56" s="91"/>
      <c r="C56" s="91"/>
      <c r="D56" s="91"/>
      <c r="E56" s="91"/>
      <c r="F56" s="91"/>
      <c r="G56" s="91"/>
      <c r="H56" s="91"/>
      <c r="I56" s="91"/>
    </row>
  </sheetData>
  <sortState ref="F7:G10">
    <sortCondition ref="F7:F10"/>
  </sortState>
  <customSheetViews>
    <customSheetView guid="{2CD00E0D-7A42-4D1F-BB0C-36C7B8A44027}">
      <selection activeCell="B39" sqref="B39"/>
      <pageMargins left="0.7" right="0.7" top="0.75" bottom="0.75" header="0.3" footer="0.3"/>
    </customSheetView>
  </customSheetViews>
  <mergeCells count="18">
    <mergeCell ref="D7:E7"/>
    <mergeCell ref="D9:E9"/>
    <mergeCell ref="D10:E10"/>
    <mergeCell ref="D8:E8"/>
    <mergeCell ref="K24:O24"/>
    <mergeCell ref="I23:J23"/>
    <mergeCell ref="F23:G23"/>
    <mergeCell ref="C23:D23"/>
    <mergeCell ref="C35:D35"/>
    <mergeCell ref="F35:G35"/>
    <mergeCell ref="I35:J35"/>
    <mergeCell ref="C15:D15"/>
    <mergeCell ref="C44:D44"/>
    <mergeCell ref="F44:G44"/>
    <mergeCell ref="C16:D16"/>
    <mergeCell ref="C17:D17"/>
    <mergeCell ref="C18:D18"/>
    <mergeCell ref="C19:D19"/>
  </mergeCells>
  <pageMargins left="0.7" right="0.7" top="0.75" bottom="0.75" header="0.3" footer="0.3"/>
  <pageSetup scale="66"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63</vt:i4>
      </vt:variant>
    </vt:vector>
  </HeadingPairs>
  <TitlesOfParts>
    <vt:vector size="72" baseType="lpstr">
      <vt:lpstr>Introduction</vt:lpstr>
      <vt:lpstr>Cover Page</vt:lpstr>
      <vt:lpstr>Instream-HabRate</vt:lpstr>
      <vt:lpstr>Riparian &amp; Floodplain</vt:lpstr>
      <vt:lpstr>Supporting Landscape</vt:lpstr>
      <vt:lpstr>Credit Calculations</vt:lpstr>
      <vt:lpstr>References</vt:lpstr>
      <vt:lpstr>HabRate Summary</vt:lpstr>
      <vt:lpstr>Dropdown lists</vt:lpstr>
      <vt:lpstr>Checkbox</vt:lpstr>
      <vt:lpstr>DEQ303d</vt:lpstr>
      <vt:lpstr>DEQ303d_Score</vt:lpstr>
      <vt:lpstr>Entrench</vt:lpstr>
      <vt:lpstr>Entrench_Score</vt:lpstr>
      <vt:lpstr>Floodpln</vt:lpstr>
      <vt:lpstr>Floodpln_Score</vt:lpstr>
      <vt:lpstr>FuncRip</vt:lpstr>
      <vt:lpstr>FuncRip_Score</vt:lpstr>
      <vt:lpstr>Instream_Weight</vt:lpstr>
      <vt:lpstr>Landscape</vt:lpstr>
      <vt:lpstr>Landscape_Score</vt:lpstr>
      <vt:lpstr>Landscape_Weight</vt:lpstr>
      <vt:lpstr>lenHData</vt:lpstr>
      <vt:lpstr>LU_DEQ303D_Score</vt:lpstr>
      <vt:lpstr>LU_Entrench_Score</vt:lpstr>
      <vt:lpstr>LU_Floodplain_Score</vt:lpstr>
      <vt:lpstr>LU_NNSp_Score</vt:lpstr>
      <vt:lpstr>LU_Passage_Status</vt:lpstr>
      <vt:lpstr>LU_Pct_Protected_Score</vt:lpstr>
      <vt:lpstr>LU_PctAgrigulture_Score</vt:lpstr>
      <vt:lpstr>LU_RoadDensity_Score</vt:lpstr>
      <vt:lpstr>LU_StreamXDensity_Score</vt:lpstr>
      <vt:lpstr>Mature_Forest_Pct</vt:lpstr>
      <vt:lpstr>Mgt</vt:lpstr>
      <vt:lpstr>Nearstream</vt:lpstr>
      <vt:lpstr>Nearstream_Score</vt:lpstr>
      <vt:lpstr>Nearstream_Weight</vt:lpstr>
      <vt:lpstr>NNSpec</vt:lpstr>
      <vt:lpstr>NNSpec_Score</vt:lpstr>
      <vt:lpstr>Passage_Status</vt:lpstr>
      <vt:lpstr>pClass1</vt:lpstr>
      <vt:lpstr>pClass2</vt:lpstr>
      <vt:lpstr>pClass3</vt:lpstr>
      <vt:lpstr>pClass4</vt:lpstr>
      <vt:lpstr>PctAgriculture</vt:lpstr>
      <vt:lpstr>PctAgriculture_Score</vt:lpstr>
      <vt:lpstr>'Cover Page'!Print_Area</vt:lpstr>
      <vt:lpstr>'Credit Calculations'!Print_Area</vt:lpstr>
      <vt:lpstr>'Dropdown lists'!Print_Area</vt:lpstr>
      <vt:lpstr>'HabRate Summary'!Print_Area</vt:lpstr>
      <vt:lpstr>'Instream-HabRate'!Print_Area</vt:lpstr>
      <vt:lpstr>Introduction!Print_Area</vt:lpstr>
      <vt:lpstr>References!Print_Area</vt:lpstr>
      <vt:lpstr>'Riparian &amp; Floodplain'!Print_Area</vt:lpstr>
      <vt:lpstr>'Supporting Landscape'!Print_Area</vt:lpstr>
      <vt:lpstr>'Instream-HabRate'!Print_Titles</vt:lpstr>
      <vt:lpstr>'Riparian &amp; Floodplain'!Print_Titles</vt:lpstr>
      <vt:lpstr>'Supporting Landscape'!Print_Titles</vt:lpstr>
      <vt:lpstr>Project_Site</vt:lpstr>
      <vt:lpstr>ProtectContArea</vt:lpstr>
      <vt:lpstr>ProtectContArea_Score</vt:lpstr>
      <vt:lpstr>ProtectRiparian</vt:lpstr>
      <vt:lpstr>ProtectRiparian_Score</vt:lpstr>
      <vt:lpstr>Riparian_Pct</vt:lpstr>
      <vt:lpstr>RoadDensity</vt:lpstr>
      <vt:lpstr>RoadDensity_Score</vt:lpstr>
      <vt:lpstr>StreamXDen</vt:lpstr>
      <vt:lpstr>StrmXDen_Score</vt:lpstr>
      <vt:lpstr>TotMiles</vt:lpstr>
      <vt:lpstr>Use_pct</vt:lpstr>
      <vt:lpstr>Veg</vt:lpstr>
      <vt:lpstr>Yes_No</vt:lpstr>
    </vt:vector>
  </TitlesOfParts>
  <Company>The Nature Conservancy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Pickering</dc:creator>
  <cp:lastModifiedBy>Robert Swingle</cp:lastModifiedBy>
  <cp:lastPrinted>2014-02-15T02:35:59Z</cp:lastPrinted>
  <dcterms:created xsi:type="dcterms:W3CDTF">2013-08-02T16:47:16Z</dcterms:created>
  <dcterms:modified xsi:type="dcterms:W3CDTF">2015-07-06T15:22:58Z</dcterms:modified>
</cp:coreProperties>
</file>