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fish\passage\docs\mitigation\"/>
    </mc:Choice>
  </mc:AlternateContent>
  <bookViews>
    <workbookView xWindow="288" yWindow="4380" windowWidth="21300" windowHeight="6312" tabRatio="878" firstSheet="1" activeTab="5"/>
  </bookViews>
  <sheets>
    <sheet name="Introduction" sheetId="12" r:id="rId1"/>
    <sheet name="Cover Page" sheetId="7" r:id="rId2"/>
    <sheet name="Instream-HabRate" sheetId="8" r:id="rId3"/>
    <sheet name="Riparian &amp; Floodplain" sheetId="1" r:id="rId4"/>
    <sheet name="Supporting Landscape" sheetId="9" r:id="rId5"/>
    <sheet name="Credit Calculations" sheetId="11" r:id="rId6"/>
    <sheet name="References" sheetId="4" r:id="rId7"/>
    <sheet name="HabRate Summary" sheetId="5" r:id="rId8"/>
    <sheet name="Dropdown lists" sheetId="3" r:id="rId9"/>
  </sheets>
  <definedNames>
    <definedName name="Checkbox">'Dropdown lists'!$I$16:$I$17</definedName>
    <definedName name="DEQ303d">'Supporting Landscape'!$G$34</definedName>
    <definedName name="DEQ303d_Score">'Supporting Landscape'!$G$35</definedName>
    <definedName name="Entrench">'Riparian &amp; Floodplain'!$G$24</definedName>
    <definedName name="Entrench_Score">'Riparian &amp; Floodplain'!$G$25</definedName>
    <definedName name="Floodpln">'Riparian &amp; Floodplain'!$G$28</definedName>
    <definedName name="Floodpln_Score">'Riparian &amp; Floodplain'!$G$29</definedName>
    <definedName name="FuncRip">'Riparian &amp; Floodplain'!$G$15</definedName>
    <definedName name="FuncRip_Score">'Riparian &amp; Floodplain'!$G$16</definedName>
    <definedName name="Instream">'Credit Calculations'!#REF!</definedName>
    <definedName name="Instream_Weight">'Credit Calculations'!$D$7</definedName>
    <definedName name="Landscape">'Credit Calculations'!$N$9</definedName>
    <definedName name="Landscape_Score">'Credit Calculations'!$L$9</definedName>
    <definedName name="Landscape_Weight">'Credit Calculations'!$D$9</definedName>
    <definedName name="lenHData">'Instream-HabRate'!$R$18</definedName>
    <definedName name="LU_DEQ303D_Score">'Dropdown lists'!$I$37:$J$39</definedName>
    <definedName name="LU_Entrench_Score">'Dropdown lists'!$C$25:$D$29</definedName>
    <definedName name="LU_Floodplain_Score">'Dropdown lists'!$F$25:$G$30</definedName>
    <definedName name="LU_NNSp_Score">'Dropdown lists'!$F$37:$G$40</definedName>
    <definedName name="LU_Passage_Status">'Dropdown lists'!$C$16:$C$18</definedName>
    <definedName name="LU_Pct_Protected_Score">'Dropdown lists'!$C$37:$D$42</definedName>
    <definedName name="LU_PctAgrigulture_Score">'Dropdown lists'!$C$46:$D$50</definedName>
    <definedName name="LU_RoadDensity_Score">'Dropdown lists'!$F$46:$G$49</definedName>
    <definedName name="LU_StreamXDensity_Score">'Dropdown lists'!$I$46:$J$49</definedName>
    <definedName name="Mature_Forest_Pct">'Dropdown lists'!$F$26:$F$29</definedName>
    <definedName name="Mgt">'Credit Calculations'!$E$91</definedName>
    <definedName name="Nearstream">'Credit Calculations'!$N$8</definedName>
    <definedName name="Nearstream_Score">'Credit Calculations'!$L$8</definedName>
    <definedName name="Nearstream_Weight">'Credit Calculations'!$D$8</definedName>
    <definedName name="NNSpec">'Supporting Landscape'!$G$25</definedName>
    <definedName name="NNSpec_Score">'Supporting Landscape'!$G$26</definedName>
    <definedName name="Passage_Status">'Instream-HabRate'!$R$9</definedName>
    <definedName name="pClass1">'Riparian &amp; Floodplain'!$G$11</definedName>
    <definedName name="pClass2">'Riparian &amp; Floodplain'!$G$12</definedName>
    <definedName name="pClass3">'Riparian &amp; Floodplain'!$G$13</definedName>
    <definedName name="pClass4">'Riparian &amp; Floodplain'!$G$14</definedName>
    <definedName name="PctAgriculture">'Supporting Landscape'!$G$38</definedName>
    <definedName name="PctAgriculture_Score">'Supporting Landscape'!$G$39</definedName>
    <definedName name="_xlnm.Print_Area" localSheetId="1">'Cover Page'!$A$1:$M$61</definedName>
    <definedName name="_xlnm.Print_Area" localSheetId="5">'Credit Calculations'!$A$1:$Q$56</definedName>
    <definedName name="_xlnm.Print_Area" localSheetId="8">'Dropdown lists'!$B$3:$J$51</definedName>
    <definedName name="_xlnm.Print_Area" localSheetId="7">'HabRate Summary'!$B$3:$B$14</definedName>
    <definedName name="_xlnm.Print_Area" localSheetId="2">'Instream-HabRate'!$B$1:$U$53</definedName>
    <definedName name="_xlnm.Print_Area" localSheetId="0">Introduction!$A$1:$J$43</definedName>
    <definedName name="_xlnm.Print_Area" localSheetId="6">References!$B$2:$I$42</definedName>
    <definedName name="_xlnm.Print_Area" localSheetId="3">'Riparian &amp; Floodplain'!$B$1:$P$33</definedName>
    <definedName name="_xlnm.Print_Area" localSheetId="4">'Supporting Landscape'!$B$1:$O$56</definedName>
    <definedName name="_xlnm.Print_Titles" localSheetId="2">'Instream-HabRate'!$1:$1</definedName>
    <definedName name="_xlnm.Print_Titles" localSheetId="3">'Riparian &amp; Floodplain'!$1:$6</definedName>
    <definedName name="_xlnm.Print_Titles" localSheetId="4">'Supporting Landscape'!$1:$1</definedName>
    <definedName name="Project_Site">'Cover Page'!$C$4</definedName>
    <definedName name="ProtectContArea">'Supporting Landscape'!$G$16</definedName>
    <definedName name="ProtectContArea_Score">'Supporting Landscape'!$G$17</definedName>
    <definedName name="ProtectRiparian">'Supporting Landscape'!$G$11</definedName>
    <definedName name="ProtectRiparian_Score">'Supporting Landscape'!$G$12</definedName>
    <definedName name="Riparian_Pct">'Dropdown lists'!$I$20:$I$50</definedName>
    <definedName name="RoadDensity">'Supporting Landscape'!$G$42</definedName>
    <definedName name="RoadDensity_Score">'Supporting Landscape'!$G$43</definedName>
    <definedName name="Status">'Credit Calculations'!#REF!</definedName>
    <definedName name="StreamXDen">'Supporting Landscape'!$G$51</definedName>
    <definedName name="StrmXDen_Score">'Supporting Landscape'!$G$52</definedName>
    <definedName name="TotMiles">'Instream-HabRate'!$R$15</definedName>
    <definedName name="Use_pct">'Dropdown lists'!$G$52:$G$54</definedName>
    <definedName name="Veg">'Credit Calculations'!$E$89</definedName>
    <definedName name="Yes_No">'Dropdown lists'!$G$16:$G$17</definedName>
    <definedName name="Z_2CD00E0D_7A42_4D1F_BB0C_36C7B8A44027_.wvu.PrintArea" localSheetId="3" hidden="1">'Riparian &amp; Floodplain'!$B$1:$G$29</definedName>
  </definedNames>
  <calcPr calcId="152511"/>
  <customWorkbookViews>
    <customWorkbookView name="Debbie Pickering - Personal View" guid="{2CD00E0D-7A42-4D1F-BB0C-36C7B8A44027}" mergeInterval="0" personalView="1" maximized="1" windowWidth="1276" windowHeight="759" activeSheetId="1"/>
  </customWorkbookViews>
</workbook>
</file>

<file path=xl/calcChain.xml><?xml version="1.0" encoding="utf-8"?>
<calcChain xmlns="http://schemas.openxmlformats.org/spreadsheetml/2006/main">
  <c r="O25" i="1" l="1"/>
  <c r="O26" i="1"/>
  <c r="O27" i="1"/>
  <c r="O28" i="1"/>
  <c r="O29" i="1"/>
  <c r="O30" i="1"/>
  <c r="O31" i="1"/>
  <c r="O32" i="1"/>
  <c r="O33" i="1"/>
  <c r="O24" i="1"/>
  <c r="V19" i="11" l="1"/>
  <c r="U19" i="11"/>
  <c r="T19" i="11"/>
  <c r="S19" i="11"/>
  <c r="R19" i="11"/>
  <c r="Q19" i="11"/>
  <c r="P19" i="11"/>
  <c r="O19" i="11"/>
  <c r="N19" i="11"/>
  <c r="M19" i="11"/>
  <c r="L19" i="11"/>
  <c r="K19" i="11"/>
  <c r="J19" i="11"/>
  <c r="I19" i="11"/>
  <c r="H19" i="11"/>
  <c r="G19" i="11"/>
  <c r="F19" i="11"/>
  <c r="E19" i="11"/>
  <c r="D19" i="11"/>
  <c r="V18" i="11"/>
  <c r="U18" i="11"/>
  <c r="T18" i="11"/>
  <c r="S18" i="11"/>
  <c r="R18" i="11"/>
  <c r="Q18" i="11"/>
  <c r="P18" i="11"/>
  <c r="O18" i="11"/>
  <c r="N18" i="11"/>
  <c r="M18" i="11"/>
  <c r="L18" i="11"/>
  <c r="K18" i="11"/>
  <c r="J18" i="11"/>
  <c r="I18" i="11"/>
  <c r="H18" i="11"/>
  <c r="G18" i="11"/>
  <c r="F18" i="11"/>
  <c r="E18" i="11"/>
  <c r="D18" i="11"/>
  <c r="V17" i="11"/>
  <c r="U17" i="11"/>
  <c r="T17" i="11"/>
  <c r="S17" i="11"/>
  <c r="R17" i="11"/>
  <c r="Q17" i="11"/>
  <c r="P17" i="11"/>
  <c r="O17" i="11"/>
  <c r="N17" i="11"/>
  <c r="M17" i="11"/>
  <c r="L17" i="11"/>
  <c r="K17" i="11"/>
  <c r="J17" i="11"/>
  <c r="I17" i="11"/>
  <c r="H17" i="11"/>
  <c r="G17" i="11"/>
  <c r="F17" i="11"/>
  <c r="E17" i="11"/>
  <c r="D17" i="11"/>
  <c r="V16" i="11"/>
  <c r="U16" i="11"/>
  <c r="T16" i="11"/>
  <c r="S16" i="11"/>
  <c r="R16" i="11"/>
  <c r="Q16" i="11"/>
  <c r="P16" i="11"/>
  <c r="O16" i="11"/>
  <c r="N16" i="11"/>
  <c r="M16" i="11"/>
  <c r="L16" i="11"/>
  <c r="K16" i="11"/>
  <c r="J16" i="11"/>
  <c r="I16" i="11"/>
  <c r="H16" i="11"/>
  <c r="G16" i="11"/>
  <c r="F16" i="11"/>
  <c r="E16" i="11"/>
  <c r="D16" i="11"/>
  <c r="V15" i="11"/>
  <c r="U15" i="11"/>
  <c r="T15" i="11"/>
  <c r="S15" i="11"/>
  <c r="R15" i="11"/>
  <c r="Q15" i="11"/>
  <c r="P15" i="11"/>
  <c r="O15" i="11"/>
  <c r="N15" i="11"/>
  <c r="M15" i="11"/>
  <c r="L15" i="11"/>
  <c r="K15" i="11"/>
  <c r="J15" i="11"/>
  <c r="I15" i="11"/>
  <c r="H15" i="11"/>
  <c r="G15" i="11"/>
  <c r="F15" i="11"/>
  <c r="E15" i="11"/>
  <c r="D15" i="11"/>
  <c r="J14" i="11"/>
  <c r="I14" i="11"/>
  <c r="H14" i="11"/>
  <c r="G14" i="11"/>
  <c r="V14" i="11" s="1"/>
  <c r="F14" i="11"/>
  <c r="R14" i="11" s="1"/>
  <c r="E14" i="11"/>
  <c r="N14" i="11" s="1"/>
  <c r="D14" i="11"/>
  <c r="O14" i="11" l="1"/>
  <c r="P14" i="11"/>
  <c r="K14" i="11"/>
  <c r="S14" i="11"/>
  <c r="L14" i="11"/>
  <c r="T14" i="11"/>
  <c r="M14" i="11"/>
  <c r="U14" i="11"/>
  <c r="Q14" i="11"/>
  <c r="B1" i="3"/>
  <c r="B1" i="9"/>
  <c r="B2" i="7"/>
  <c r="B1" i="5" s="1"/>
  <c r="B1" i="11" l="1"/>
  <c r="B1" i="8"/>
  <c r="B1" i="4"/>
  <c r="B1" i="1"/>
  <c r="S18" i="8"/>
  <c r="O14" i="1" l="1"/>
  <c r="M24" i="1" l="1"/>
  <c r="L24" i="1"/>
  <c r="O34" i="1" l="1"/>
  <c r="M34" i="1"/>
  <c r="J10" i="7"/>
  <c r="O35" i="1" l="1"/>
  <c r="M43" i="9"/>
  <c r="N43" i="9" s="1"/>
  <c r="H14" i="7"/>
  <c r="K27" i="8" l="1"/>
  <c r="K28" i="8"/>
  <c r="C15" i="11" s="1"/>
  <c r="K29" i="8"/>
  <c r="C16" i="11" s="1"/>
  <c r="K30" i="8"/>
  <c r="C17" i="11" s="1"/>
  <c r="K31" i="8"/>
  <c r="C18" i="11" s="1"/>
  <c r="K32" i="8"/>
  <c r="C19" i="11" s="1"/>
  <c r="K33" i="8"/>
  <c r="K34" i="8"/>
  <c r="K35" i="8"/>
  <c r="K36" i="8"/>
  <c r="K39" i="8"/>
  <c r="C38" i="11" l="1"/>
  <c r="C27" i="11"/>
  <c r="C39" i="11"/>
  <c r="C28" i="11"/>
  <c r="C30" i="11"/>
  <c r="C41" i="11"/>
  <c r="C26" i="11"/>
  <c r="C37" i="11"/>
  <c r="C40" i="11"/>
  <c r="C29" i="11"/>
  <c r="J7" i="11"/>
  <c r="C14" i="11"/>
  <c r="N12" i="9"/>
  <c r="N16" i="9"/>
  <c r="C25" i="11" l="1"/>
  <c r="C36" i="11"/>
  <c r="E37" i="11"/>
  <c r="M37" i="11"/>
  <c r="G37" i="11"/>
  <c r="D37" i="11"/>
  <c r="J37" i="11"/>
  <c r="F37" i="11"/>
  <c r="L37" i="11"/>
  <c r="H37" i="11"/>
  <c r="O37" i="11"/>
  <c r="K37" i="11"/>
  <c r="I37" i="11"/>
  <c r="N37" i="11"/>
  <c r="O41" i="11"/>
  <c r="E41" i="11"/>
  <c r="I41" i="11"/>
  <c r="M41" i="11"/>
  <c r="H41" i="11"/>
  <c r="N41" i="11"/>
  <c r="D41" i="11"/>
  <c r="J41" i="11"/>
  <c r="K41" i="11"/>
  <c r="L41" i="11"/>
  <c r="F41" i="11"/>
  <c r="G41" i="11"/>
  <c r="O39" i="11"/>
  <c r="I39" i="11"/>
  <c r="L39" i="11"/>
  <c r="K39" i="11"/>
  <c r="N39" i="11"/>
  <c r="D39" i="11"/>
  <c r="H39" i="11"/>
  <c r="E39" i="11"/>
  <c r="F39" i="11"/>
  <c r="J39" i="11"/>
  <c r="M39" i="11"/>
  <c r="G39" i="11"/>
  <c r="E40" i="11"/>
  <c r="H40" i="11"/>
  <c r="I40" i="11"/>
  <c r="N40" i="11"/>
  <c r="O40" i="11"/>
  <c r="G40" i="11"/>
  <c r="K40" i="11"/>
  <c r="L40" i="11"/>
  <c r="M40" i="11"/>
  <c r="F40" i="11"/>
  <c r="D40" i="11"/>
  <c r="J40" i="11"/>
  <c r="N38" i="11"/>
  <c r="I38" i="11"/>
  <c r="M38" i="11"/>
  <c r="J38" i="11"/>
  <c r="O38" i="11"/>
  <c r="H38" i="11"/>
  <c r="F38" i="11"/>
  <c r="K38" i="11"/>
  <c r="G38" i="11"/>
  <c r="L38" i="11"/>
  <c r="D38" i="11"/>
  <c r="E38" i="11"/>
  <c r="J48" i="11"/>
  <c r="O48" i="11" s="1"/>
  <c r="G14" i="1" l="1"/>
  <c r="B3" i="11"/>
  <c r="M51" i="9"/>
  <c r="N39" i="9"/>
  <c r="B3" i="9"/>
  <c r="B3" i="8"/>
  <c r="B3" i="1"/>
  <c r="G11" i="1" l="1"/>
  <c r="G12" i="1"/>
  <c r="G13" i="1"/>
  <c r="G15" i="1" l="1"/>
  <c r="G16" i="1" s="1"/>
  <c r="G52" i="9" l="1"/>
  <c r="G43" i="9"/>
  <c r="G12" i="9"/>
  <c r="G17" i="9"/>
  <c r="G29" i="1"/>
  <c r="G25" i="1"/>
  <c r="G26" i="9"/>
  <c r="G39" i="9"/>
  <c r="G35" i="9"/>
  <c r="J8" i="11" l="1"/>
  <c r="L8" i="11" s="1"/>
  <c r="N8" i="11" s="1"/>
  <c r="J9" i="11"/>
  <c r="L9" i="11" s="1"/>
  <c r="N9" i="11" s="1"/>
  <c r="G29" i="11" l="1"/>
  <c r="L28" i="11"/>
  <c r="N26" i="11"/>
  <c r="L30" i="11"/>
  <c r="M27" i="11"/>
  <c r="G30" i="11"/>
  <c r="L27" i="11"/>
  <c r="H26" i="11"/>
  <c r="J27" i="11"/>
  <c r="N28" i="11"/>
  <c r="N29" i="11"/>
  <c r="F27" i="11"/>
  <c r="I26" i="11"/>
  <c r="I27" i="11"/>
  <c r="I28" i="11"/>
  <c r="I29" i="11"/>
  <c r="I30" i="11"/>
  <c r="F30" i="11"/>
  <c r="D26" i="11"/>
  <c r="J28" i="11"/>
  <c r="E26" i="11"/>
  <c r="E29" i="11"/>
  <c r="D30" i="11"/>
  <c r="D28" i="11"/>
  <c r="G26" i="11"/>
  <c r="G28" i="11"/>
  <c r="M30" i="11"/>
  <c r="F29" i="11"/>
  <c r="J26" i="11"/>
  <c r="N27" i="11"/>
  <c r="D29" i="11"/>
  <c r="J30" i="11"/>
  <c r="F28" i="11"/>
  <c r="K26" i="11"/>
  <c r="K27" i="11"/>
  <c r="K28" i="11"/>
  <c r="K29" i="11"/>
  <c r="K30" i="11"/>
  <c r="N30" i="11"/>
  <c r="G27" i="11"/>
  <c r="M29" i="11"/>
  <c r="H27" i="11"/>
  <c r="L26" i="11"/>
  <c r="E28" i="11"/>
  <c r="H30" i="11"/>
  <c r="L29" i="11"/>
  <c r="M26" i="11"/>
  <c r="M28" i="11"/>
  <c r="L25" i="11"/>
  <c r="L36" i="11" s="1"/>
  <c r="L42" i="11" s="1"/>
  <c r="L43" i="11" s="1"/>
  <c r="D25" i="11"/>
  <c r="D36" i="11" s="1"/>
  <c r="D42" i="11" s="1"/>
  <c r="D43" i="11" s="1"/>
  <c r="E48" i="11" s="1"/>
  <c r="E54" i="11" s="1"/>
  <c r="I14" i="7" s="1"/>
  <c r="D27" i="11"/>
  <c r="H28" i="11"/>
  <c r="H29" i="11"/>
  <c r="F25" i="11"/>
  <c r="F36" i="11" s="1"/>
  <c r="F42" i="11" s="1"/>
  <c r="F43" i="11" s="1"/>
  <c r="E25" i="11"/>
  <c r="E36" i="11" s="1"/>
  <c r="E42" i="11" s="1"/>
  <c r="E43" i="11" s="1"/>
  <c r="O26" i="11"/>
  <c r="O27" i="11"/>
  <c r="O28" i="11"/>
  <c r="O29" i="11"/>
  <c r="O30" i="11"/>
  <c r="F26" i="11"/>
  <c r="J29" i="11"/>
  <c r="E27" i="11"/>
  <c r="E30" i="11"/>
  <c r="M25" i="11"/>
  <c r="M36" i="11" s="1"/>
  <c r="M42" i="11" s="1"/>
  <c r="M43" i="11" s="1"/>
  <c r="K25" i="11"/>
  <c r="K36" i="11" s="1"/>
  <c r="K42" i="11" s="1"/>
  <c r="K43" i="11" s="1"/>
  <c r="G49" i="11" s="1"/>
  <c r="G55" i="11" s="1"/>
  <c r="J25" i="11"/>
  <c r="J36" i="11" s="1"/>
  <c r="J42" i="11" s="1"/>
  <c r="J43" i="11" s="1"/>
  <c r="H25" i="11"/>
  <c r="H36" i="11" s="1"/>
  <c r="H42" i="11" s="1"/>
  <c r="H43" i="11" s="1"/>
  <c r="N25" i="11"/>
  <c r="N36" i="11" s="1"/>
  <c r="N42" i="11" s="1"/>
  <c r="N43" i="11" s="1"/>
  <c r="I25" i="11"/>
  <c r="I36" i="11" s="1"/>
  <c r="I42" i="11" s="1"/>
  <c r="I43" i="11" s="1"/>
  <c r="O25" i="11"/>
  <c r="O36" i="11" s="1"/>
  <c r="O42" i="11" s="1"/>
  <c r="O43" i="11" s="1"/>
  <c r="G25" i="11"/>
  <c r="G36" i="11" s="1"/>
  <c r="G42" i="11" s="1"/>
  <c r="G43" i="11" s="1"/>
  <c r="F48" i="11" s="1"/>
  <c r="G48" i="11"/>
  <c r="G54" i="11" s="1"/>
  <c r="K14" i="7" s="1"/>
  <c r="E49" i="11"/>
  <c r="E55" i="11" s="1"/>
  <c r="F49" i="11"/>
  <c r="F54" i="11" l="1"/>
  <c r="H48" i="11"/>
  <c r="F55" i="11"/>
  <c r="H55" i="11" s="1"/>
  <c r="H49" i="11"/>
  <c r="J14" i="7" l="1"/>
  <c r="H54" i="11"/>
</calcChain>
</file>

<file path=xl/comments1.xml><?xml version="1.0" encoding="utf-8"?>
<comments xmlns="http://schemas.openxmlformats.org/spreadsheetml/2006/main">
  <authors>
    <author>Debbie Pickering</author>
  </authors>
  <commentList>
    <comment ref="H6" authorId="0" shapeId="0">
      <text>
        <r>
          <rPr>
            <b/>
            <sz val="9"/>
            <color indexed="81"/>
            <rFont val="Tahoma"/>
            <family val="2"/>
          </rPr>
          <t>Debbie Pickering:</t>
        </r>
        <r>
          <rPr>
            <sz val="9"/>
            <color indexed="81"/>
            <rFont val="Tahoma"/>
            <family val="2"/>
          </rPr>
          <t xml:space="preserve">
Do we still need this? If so, how to populate it?</t>
        </r>
      </text>
    </comment>
    <comment ref="I6" authorId="0" shapeId="0">
      <text>
        <r>
          <rPr>
            <b/>
            <sz val="9"/>
            <color indexed="81"/>
            <rFont val="Tahoma"/>
            <family val="2"/>
          </rPr>
          <t>Debbie Pickering:</t>
        </r>
        <r>
          <rPr>
            <sz val="9"/>
            <color indexed="81"/>
            <rFont val="Tahoma"/>
            <family val="2"/>
          </rPr>
          <t xml:space="preserve">
This column will be dropped once we cross-walk with Rule Name as needed</t>
        </r>
      </text>
    </comment>
  </commentList>
</comments>
</file>

<file path=xl/sharedStrings.xml><?xml version="1.0" encoding="utf-8"?>
<sst xmlns="http://schemas.openxmlformats.org/spreadsheetml/2006/main" count="649" uniqueCount="442">
  <si>
    <t>Water Quality</t>
  </si>
  <si>
    <t>Enter 1 for yes. Enter 0 for no.</t>
  </si>
  <si>
    <t>Species Composition</t>
  </si>
  <si>
    <t>References</t>
  </si>
  <si>
    <t>Landscape Context</t>
  </si>
  <si>
    <t>WQ1</t>
  </si>
  <si>
    <t>LC1</t>
  </si>
  <si>
    <t>HF1</t>
  </si>
  <si>
    <t>HF3</t>
  </si>
  <si>
    <t>Data Confidence Rating</t>
  </si>
  <si>
    <t>RULE CODE</t>
  </si>
  <si>
    <t>Steelhead</t>
  </si>
  <si>
    <t>Coho Salmon</t>
  </si>
  <si>
    <t>Coastal Cutthroat Trout</t>
  </si>
  <si>
    <t>Chinook Salmon</t>
  </si>
  <si>
    <t>Chum Salmon</t>
  </si>
  <si>
    <t>Yes</t>
  </si>
  <si>
    <t>No</t>
  </si>
  <si>
    <t>Fully Blocked</t>
  </si>
  <si>
    <t>Checkbox</t>
  </si>
  <si>
    <t>X</t>
  </si>
  <si>
    <t>Answer</t>
  </si>
  <si>
    <t>Passage Status</t>
  </si>
  <si>
    <t>http://www.dfw.state.or.us/wildlife/diversity/species/sensitive_species.asp</t>
  </si>
  <si>
    <t>DSL Essential Salmon Habitat</t>
  </si>
  <si>
    <t xml:space="preserve">ODFW State Sensitive Species list    </t>
  </si>
  <si>
    <t>http://www.dfw.state.or.us/wildlife/diversity/species/threatened_endangered_candidate_list.asp</t>
  </si>
  <si>
    <t>Threatened, Endangered, and Candidate Fish and Wildlife Species</t>
  </si>
  <si>
    <t>Species</t>
  </si>
  <si>
    <t>State Status</t>
  </si>
  <si>
    <t>Federal Status</t>
  </si>
  <si>
    <t>E</t>
  </si>
  <si>
    <t>T</t>
  </si>
  <si>
    <t>Lower Columbia River Coho Salmon</t>
  </si>
  <si>
    <t>Oregon Coast Coho Salmon</t>
  </si>
  <si>
    <t>&lt;Criteria score determined via formula</t>
  </si>
  <si>
    <t>WQ2</t>
  </si>
  <si>
    <t>% class 1: late seral vegetation, including old growth and mature second growth riparian forests</t>
  </si>
  <si>
    <t>All Species</t>
  </si>
  <si>
    <t>SC2</t>
  </si>
  <si>
    <t>Total Habitat Calculations</t>
  </si>
  <si>
    <t>Abstract</t>
  </si>
  <si>
    <t xml:space="preserve">Habrate: A Limiting Factors Model for Assessing Stream Habitat Quality </t>
  </si>
  <si>
    <t>Jennifer L. Burke, Kim K. Jones, and Jeffrey M. Dambacher
Oregon Department of Fish and Wildlife, Conservation and Recovery, Aquatic Inventories Program
28655 Highway 34, Corvallis, OR  97333
(541) 757-4263</t>
  </si>
  <si>
    <t xml:space="preserve">     Fishery managers are commonly tasked with the basic question “Will the contemporary habitat above a barrier support the fish populations that historically resided in the watershed?” Managers in central Oregon were confronted with that question in an effort to reestablish fish populations in 375 kilometers of stream above the Round Butte-Pelton Dam complex (Rkm 161) on the Deschutes River.  Stream surveys had been conducted in most of the available stream habitat, but had not been synthesized in a form that allowed managers to view the quality and complexity of stream habitat in an easily-understandable fashion.  In response, we developed a limiting factors model (HabRate) that assessed the potential quality of stream habitat using stream survey data for each juvenile life stage of salmon and steelhead.  The model was developed for a specific application to the middle Deschutes River basin in Oregon, but was intended for general application to Pacific Northwest basins.  To paramatize the model, we summarized available literature on salmonid habitat requirements.  Habitat criteria  were developed for discrete life history stages (i.e. spawning, egg survival, emergence, summer rearing, and winter rearing) and used to rate the quality of stream reaches as poor, fair, or good, based on attributes relating to stream substrate, habitat unit type, cover, gradient, temperature, and flow.  Reach level summaries of stream habitat data were entered into MS Excel, and interpreted by a series of algorithms to provide a limiting factor assessment of potential egg-to-fry and fry-to-parr survival for each reach.  Model output lists habitat quality by species and life stage for each reach of stream.  The model is a decision making tool that is intended  to provide a qualitative assessment of the habitat potential of stream reaches within a basin context.  Design criteria for the model were simplicity, flexibility, and transparency.  While HabRate was based on our interpretations of the published literature, specific criteria for habitat quality were structured to be easily adjusted where interpretations differ from ours.  Information not common to standard stream survey designs, such as seasonal flow or temperature extremes can be included as input from professional judgment.  The results were integrated into a GIS coverage coupled with the stream network and habitat data to provide a comprehensive map-based perspective of habitat quality in a watershed.  </t>
  </si>
  <si>
    <t>Citation: Burke, J. L, K. K. Jones, and J. M. Dambacher.  2010.  Habrate: A Limiting Factors Model for Assessing Stream Habitat Quality for Salmon and Steelhead in the Deschutes River Basin.  Information Report 2010-03, Oregon Department of Fish and Wildlife, Corvallis.</t>
  </si>
  <si>
    <t>%</t>
  </si>
  <si>
    <t>References Cited:</t>
  </si>
  <si>
    <r>
      <rPr>
        <b/>
        <sz val="11"/>
        <color theme="1"/>
        <rFont val="Calibri"/>
        <family val="2"/>
        <scheme val="minor"/>
      </rPr>
      <t>Burke, J. L, K. K. Jones, and J. M. Dambacher.  2010.</t>
    </r>
    <r>
      <rPr>
        <sz val="11"/>
        <color theme="1"/>
        <rFont val="Calibri"/>
        <family val="2"/>
        <scheme val="minor"/>
      </rPr>
      <t xml:space="preserve">  Habrate: A Limiting Factors Model for Assessing Stream Habitat Quality for Salmon and Steelhead in the Deschutes River Basin.  Information Report 2010-03, Oregon Department of Fish and Wildlife, Corvallis.</t>
    </r>
  </si>
  <si>
    <r>
      <rPr>
        <b/>
        <sz val="11"/>
        <color theme="1"/>
        <rFont val="Calibri"/>
        <family val="2"/>
        <scheme val="minor"/>
      </rPr>
      <t>Foster, S.C, C.H. Stein, and K.K. Jones. 2001.</t>
    </r>
    <r>
      <rPr>
        <sz val="11"/>
        <color theme="1"/>
        <rFont val="Calibri"/>
        <family val="2"/>
        <scheme val="minor"/>
      </rPr>
      <t xml:space="preserve"> A Guide To Interpreting Stream Survey Reports. Aquatic Inventories Project, Natural Production Program, Oregon Department of Fish And Wildlife. Portland, Oregon.</t>
    </r>
  </si>
  <si>
    <r>
      <rPr>
        <b/>
        <sz val="11"/>
        <color theme="1"/>
        <rFont val="Calibri"/>
        <family val="2"/>
        <scheme val="minor"/>
      </rPr>
      <t>Loffink, K. 2013.</t>
    </r>
    <r>
      <rPr>
        <sz val="11"/>
        <color theme="1"/>
        <rFont val="Calibri"/>
        <family val="2"/>
        <scheme val="minor"/>
      </rPr>
      <t xml:space="preserve"> Fish Passage Priority List. Oregon Department of Fish and Wildlife Fish Screening and Passage Program. Salem, Oregon.</t>
    </r>
  </si>
  <si>
    <r>
      <rPr>
        <b/>
        <sz val="11"/>
        <color theme="1"/>
        <rFont val="Calibri"/>
        <family val="2"/>
        <scheme val="minor"/>
      </rPr>
      <t>Maher, M., M.B. Sheer, E.A. Steel, and P. McElhany. 2005.</t>
    </r>
    <r>
      <rPr>
        <sz val="11"/>
        <color theme="1"/>
        <rFont val="Calibri"/>
        <family val="2"/>
        <scheme val="minor"/>
      </rPr>
      <t xml:space="preserve"> Atlas of Salmon and Steelhead Habitat in the Oregon Lower Columbia and Willamette Basins. NOAA Fisheries Northwest Fisheries Science Center, Seattle, Washington.</t>
    </r>
  </si>
  <si>
    <t>http://oregonstate.edu/inr/ilap</t>
  </si>
  <si>
    <t>Integrated Landscape Assessment Project</t>
  </si>
  <si>
    <r>
      <rPr>
        <b/>
        <sz val="11"/>
        <color theme="1"/>
        <rFont val="Calibri"/>
        <family val="2"/>
        <scheme val="minor"/>
      </rPr>
      <t>Martin, E. H. and Apse, C.D. 2013.</t>
    </r>
    <r>
      <rPr>
        <sz val="11"/>
        <color theme="1"/>
        <rFont val="Calibri"/>
        <family val="2"/>
        <scheme val="minor"/>
      </rPr>
      <t xml:space="preserve"> Chesapeake Fish Passage Prioritization: An Assessment of Dams in the Chesapeake Bay Watershed. The Nature Conservancy, Eastern Division Conservation Science. http://maps.tnc.org/erof_ChesapeakeFPP </t>
    </r>
  </si>
  <si>
    <r>
      <rPr>
        <b/>
        <sz val="11"/>
        <color theme="1"/>
        <rFont val="Calibri"/>
        <family val="2"/>
        <scheme val="minor"/>
      </rPr>
      <t>U.S. Department of Agriculture and U.S. Department of Interior (USDA and USDI). 2005.</t>
    </r>
    <r>
      <rPr>
        <sz val="11"/>
        <color theme="1"/>
        <rFont val="Calibri"/>
        <family val="2"/>
        <scheme val="minor"/>
      </rPr>
      <t xml:space="preserve"> Northwest Forest Plan Aquatic Conservation Strategy; The Implementation of the Northwest Forest Plan Aquatic Conservation Strategy on BLM and FS-administered lands within the Oregon Coastal Coho ESU. Submitted to State of Oregon, Oregon Plan for Salmon and Watersheds Assessment Team, Salem, Oregon.</t>
    </r>
  </si>
  <si>
    <r>
      <t>Area x quality score of</t>
    </r>
    <r>
      <rPr>
        <b/>
        <sz val="10"/>
        <color rgb="FFFF0000"/>
        <rFont val="Calibri"/>
        <family val="2"/>
        <scheme val="minor"/>
      </rPr>
      <t xml:space="preserve"> spawning habitat</t>
    </r>
    <r>
      <rPr>
        <sz val="10"/>
        <color rgb="FFFF0000"/>
        <rFont val="Calibri"/>
        <family val="2"/>
        <scheme val="minor"/>
      </rPr>
      <t xml:space="preserve"> upstream of barrier</t>
    </r>
  </si>
  <si>
    <r>
      <t xml:space="preserve">Area x quality score of </t>
    </r>
    <r>
      <rPr>
        <b/>
        <sz val="10"/>
        <color rgb="FFFF0000"/>
        <rFont val="Calibri"/>
        <family val="2"/>
        <scheme val="minor"/>
      </rPr>
      <t>summer rearing habitat</t>
    </r>
    <r>
      <rPr>
        <sz val="10"/>
        <color rgb="FFFF0000"/>
        <rFont val="Calibri"/>
        <family val="2"/>
        <scheme val="minor"/>
      </rPr>
      <t xml:space="preserve"> upstream of barrier</t>
    </r>
  </si>
  <si>
    <r>
      <t xml:space="preserve">Area x quality score of </t>
    </r>
    <r>
      <rPr>
        <b/>
        <sz val="10"/>
        <color rgb="FFFF0000"/>
        <rFont val="Calibri"/>
        <family val="2"/>
        <scheme val="minor"/>
      </rPr>
      <t>over-wintering habitat</t>
    </r>
    <r>
      <rPr>
        <sz val="10"/>
        <color rgb="FFFF0000"/>
        <rFont val="Calibri"/>
        <family val="2"/>
        <scheme val="minor"/>
      </rPr>
      <t xml:space="preserve"> upstream of barrier</t>
    </r>
  </si>
  <si>
    <t xml:space="preserve"> If &lt;0.25 crossings/mi, select A. If 0.25-1 crossings/mi, select B. If &gt;1 crossing/mi, select C.</t>
  </si>
  <si>
    <t>If &lt;20%, select A, if 20-40%, select B, if &gt;40%, select C</t>
  </si>
  <si>
    <t>WC4</t>
  </si>
  <si>
    <t>AREMP 2005</t>
  </si>
  <si>
    <t>C</t>
  </si>
  <si>
    <t>Name of Project Site:</t>
  </si>
  <si>
    <t>Date Field Assessed:</t>
  </si>
  <si>
    <t>Data Collector:</t>
  </si>
  <si>
    <t>Project Number:</t>
  </si>
  <si>
    <t>%Pass</t>
  </si>
  <si>
    <t>NNSpec</t>
  </si>
  <si>
    <t>%FuncRip</t>
  </si>
  <si>
    <t>Entrench</t>
  </si>
  <si>
    <t>DEQ303d</t>
  </si>
  <si>
    <t>%AgNLCD</t>
  </si>
  <si>
    <t>RoadDens</t>
  </si>
  <si>
    <t>%Protect</t>
  </si>
  <si>
    <t>StrmXDen</t>
  </si>
  <si>
    <t>HabArea</t>
  </si>
  <si>
    <t>TotMiles</t>
  </si>
  <si>
    <t>%ProtRip</t>
  </si>
  <si>
    <t xml:space="preserve">What percent of the historical floodplain area has been excluded from overbank or tidal inundation? </t>
  </si>
  <si>
    <t>Floodpln</t>
  </si>
  <si>
    <t>If &lt;10%, select A. If 10 - 20%, select B. If 21 - 50%, select C. If &gt;50%, select D.</t>
  </si>
  <si>
    <t xml:space="preserve">http://www.oregon.gov/dsl/PERMITS/Pages/esshabitat.aspx </t>
  </si>
  <si>
    <t>Date:</t>
  </si>
  <si>
    <t>Field Assessor:</t>
  </si>
  <si>
    <t>Miles of habitat data above the barrier</t>
  </si>
  <si>
    <t>Miles</t>
  </si>
  <si>
    <t>Data entry cells</t>
  </si>
  <si>
    <t>Landscape-Level Connectivity</t>
  </si>
  <si>
    <t>Floodplain Interaction</t>
  </si>
  <si>
    <t>Riparian Condition</t>
  </si>
  <si>
    <t>%Hdata</t>
  </si>
  <si>
    <t>% class 2: mid seral vegetation, including maturing second and third growth riparian forests</t>
  </si>
  <si>
    <t>If &gt; 50%, select A, if 25-50%, select B, if &lt; 25%, enter C</t>
  </si>
  <si>
    <r>
      <rPr>
        <b/>
        <sz val="10"/>
        <color theme="1"/>
        <rFont val="Calibri"/>
        <family val="2"/>
        <scheme val="minor"/>
      </rPr>
      <t xml:space="preserve">Code 1 Protected &amp; Preservation: </t>
    </r>
    <r>
      <rPr>
        <sz val="10"/>
        <color theme="1"/>
        <rFont val="Calibri"/>
        <family val="2"/>
        <scheme val="minor"/>
      </rPr>
      <t>The first management category (Code 1) is used to encompass areas that are legally dedicated to protection and preservation of the characteristic of natural landscape (Wilderness, Congressional Reserve, National Parks). Additionally it contains slightly less restrictive managemnt and may allow for more adjustments in management practices (Regional conservation reserves/preserves, Late Successional Reserves, Wilderness Study Areas, Visual Resource Management Class 1).</t>
    </r>
  </si>
  <si>
    <r>
      <rPr>
        <b/>
        <sz val="10"/>
        <color theme="1"/>
        <rFont val="Calibri"/>
        <family val="2"/>
        <scheme val="minor"/>
      </rPr>
      <t xml:space="preserve">Code 3 Retention: </t>
    </r>
    <r>
      <rPr>
        <sz val="10"/>
        <color theme="1"/>
        <rFont val="Calibri"/>
        <family val="2"/>
        <scheme val="minor"/>
      </rPr>
      <t xml:space="preserve">Code 3 has more of an emphasis on retention of forested areas or native vegetation for a variety of reasons such as the conservation of endangered species or for maintaining forested corridors along areas of visual or biological importance (Municipal Watersheds, Corridors for visual/riparian/biodiversity, Endangered/threatened species management, Other values of importance, Private conservation areas, Wildlife Refuges, Visual Resource Management Class 2).  </t>
    </r>
  </si>
  <si>
    <r>
      <rPr>
        <b/>
        <sz val="10"/>
        <color theme="1"/>
        <rFont val="Calibri"/>
        <family val="2"/>
        <scheme val="minor"/>
      </rPr>
      <t xml:space="preserve">Code 4 Partial Retention: </t>
    </r>
    <r>
      <rPr>
        <sz val="10"/>
        <color theme="1"/>
        <rFont val="Calibri"/>
        <family val="2"/>
        <scheme val="minor"/>
      </rPr>
      <t xml:space="preserve">Code 4 is based mainly on partial-retention with the potential for longer rotations or more experimental management strategies (Partial retention, Adaptive Management Areas, Experimental Forests, Other wildlife areas , Primitive recreation usage, Visual Resource Management Class 3). </t>
    </r>
  </si>
  <si>
    <r>
      <rPr>
        <b/>
        <sz val="10"/>
        <color theme="1"/>
        <rFont val="Calibri"/>
        <family val="2"/>
        <scheme val="minor"/>
      </rPr>
      <t xml:space="preserve">Code 5 Modification: </t>
    </r>
    <r>
      <rPr>
        <sz val="10"/>
        <color theme="1"/>
        <rFont val="Calibri"/>
        <family val="2"/>
        <scheme val="minor"/>
      </rPr>
      <t xml:space="preserve">Code 5 is associated with major modification of the landscape and includes general forestry, developed recreation (off road vehicle use, ski areas), mining, or grazing on public land (General forestry w/ habitat modification, NWFP Matrix, Developed recreation, Visual Resource Management Class 4). </t>
    </r>
  </si>
  <si>
    <r>
      <rPr>
        <b/>
        <sz val="10"/>
        <color theme="1"/>
        <rFont val="Calibri"/>
        <family val="2"/>
        <scheme val="minor"/>
      </rPr>
      <t xml:space="preserve">Code 6 Modification Private: </t>
    </r>
    <r>
      <rPr>
        <sz val="10"/>
        <color theme="1"/>
        <rFont val="Calibri"/>
        <family val="2"/>
        <scheme val="minor"/>
      </rPr>
      <t xml:space="preserve">Code 6 is specific to privately owned lands which may be less restrictive than public lands may or may not remain committed towards natural resource management over time.  </t>
    </r>
  </si>
  <si>
    <t>T&amp;E Fish species (OR, Fed status)</t>
  </si>
  <si>
    <r>
      <rPr>
        <b/>
        <sz val="11"/>
        <color theme="1"/>
        <rFont val="Calibri"/>
        <family val="2"/>
        <scheme val="minor"/>
      </rPr>
      <t>Aquatic and Riparian Effectiveness Monitoring Program (AREMP) Staff. 2005.</t>
    </r>
    <r>
      <rPr>
        <sz val="11"/>
        <color theme="1"/>
        <rFont val="Calibri"/>
        <family val="2"/>
        <scheme val="minor"/>
      </rPr>
      <t xml:space="preserve"> Watershed Monitoring for the Northwest Forest Plan, Data Summary Interpretation 2005, Oregon/Washington Coast Province. USDA Forest Service, Pacific Northwest Regional Office; Bureau of Land Management, Oregon State Office; 4077 S.W. Research Way, Corvallis, OR 97333. http://www.reo.gov/monitoring/watershed </t>
    </r>
  </si>
  <si>
    <r>
      <rPr>
        <b/>
        <sz val="11"/>
        <color theme="1"/>
        <rFont val="Calibri"/>
        <family val="2"/>
        <scheme val="minor"/>
      </rPr>
      <t>Aquatic Inventory Attributes used in the HabRate Calculations:</t>
    </r>
    <r>
      <rPr>
        <sz val="11"/>
        <color theme="1"/>
        <rFont val="Calibri"/>
        <family val="2"/>
        <scheme val="minor"/>
      </rPr>
      <t xml:space="preserve"> % gradient, unit width, active channel width, floodprone width, % pools, scour pool depth, riffle depth, large boulders/100m, % fines, % gravel, % cobble, % boulder, pieces of large wooody debris (LWD)/100m, % undercut, residual pool depth, average pieces LWD in pools, average keypieces LWD in pools, and average % sheltered pools</t>
    </r>
  </si>
  <si>
    <t xml:space="preserve"> If &gt;50%, select A. If 35-50%, select B. If 15-34%, select C. If &lt;15%, select D. If not known, leave blank.</t>
  </si>
  <si>
    <t>Category</t>
  </si>
  <si>
    <t>Weight</t>
  </si>
  <si>
    <t>Composite Indicator Description</t>
  </si>
  <si>
    <t>Instream habitat</t>
  </si>
  <si>
    <t>Instream</t>
  </si>
  <si>
    <t>Supporting Landscape Context</t>
  </si>
  <si>
    <t>Riparian and Floodplain Interactions</t>
  </si>
  <si>
    <t>Reach</t>
  </si>
  <si>
    <t>CH_SE</t>
  </si>
  <si>
    <t>CH_S0</t>
  </si>
  <si>
    <t>CH_W0</t>
  </si>
  <si>
    <t>ST_SE</t>
  </si>
  <si>
    <t>ST_S0</t>
  </si>
  <si>
    <t>ST_W0</t>
  </si>
  <si>
    <t>CO_SE</t>
  </si>
  <si>
    <t>CO_S0</t>
  </si>
  <si>
    <t>CO_W0</t>
  </si>
  <si>
    <t>Landscape</t>
  </si>
  <si>
    <t>Nearstream</t>
  </si>
  <si>
    <t>Trace</t>
  </si>
  <si>
    <t>Somewhat</t>
  </si>
  <si>
    <t>Significant</t>
  </si>
  <si>
    <t>HabRate Results</t>
  </si>
  <si>
    <t>Year</t>
  </si>
  <si>
    <t>0-29%</t>
  </si>
  <si>
    <t>30-69%</t>
  </si>
  <si>
    <t>70-100%</t>
  </si>
  <si>
    <t>% Range</t>
  </si>
  <si>
    <t>SubScore</t>
  </si>
  <si>
    <t>Flooplain</t>
  </si>
  <si>
    <t>A: &lt; 10%</t>
  </si>
  <si>
    <t>B: 25-50%</t>
  </si>
  <si>
    <t>B: 10-20%</t>
  </si>
  <si>
    <t>C: 21-50%</t>
  </si>
  <si>
    <t>D: &gt;50%</t>
  </si>
  <si>
    <t>Road- StreamCrossings</t>
  </si>
  <si>
    <t>A: &lt; 0.25 crossings/mi</t>
  </si>
  <si>
    <t>B: 0.25-1 crossings/mi</t>
  </si>
  <si>
    <t>C: &gt;1 crossings/mi</t>
  </si>
  <si>
    <t>Contributing Area</t>
  </si>
  <si>
    <t>Road Density</t>
  </si>
  <si>
    <t>A: &lt; 20%</t>
  </si>
  <si>
    <t>A: &gt;50%</t>
  </si>
  <si>
    <t>B: 20-40%</t>
  </si>
  <si>
    <t>B: 35-50%</t>
  </si>
  <si>
    <t>C: &gt;40%</t>
  </si>
  <si>
    <t>D: &lt;15%</t>
  </si>
  <si>
    <t>Score (%)</t>
  </si>
  <si>
    <t>C: &lt;25%</t>
  </si>
  <si>
    <t>Not applicable</t>
  </si>
  <si>
    <t>Score:</t>
  </si>
  <si>
    <t xml:space="preserve">Score: </t>
  </si>
  <si>
    <t xml:space="preserve">Score:  </t>
  </si>
  <si>
    <t>RULE: Composite % to Composite Subscore</t>
  </si>
  <si>
    <t>Dropdown lists used in calculator and Rules applied in formulas</t>
  </si>
  <si>
    <t>LANDSCAPE INDICATORS</t>
  </si>
  <si>
    <t>C:  15-34%</t>
  </si>
  <si>
    <t>Non-native Species</t>
  </si>
  <si>
    <t>Do not enter data below.  Data will automatically transfer from the indicators worksheets.</t>
  </si>
  <si>
    <t>ST_S1</t>
  </si>
  <si>
    <t>ST_W2</t>
  </si>
  <si>
    <t>Composite Habitat Quality X Quantity by Reach</t>
  </si>
  <si>
    <t>ST_WO</t>
  </si>
  <si>
    <t>Do not modify</t>
  </si>
  <si>
    <t>% class 3: early seral vegetation, including a mix of young coniferous and/or primarily deciduous vegetation types, plus ‘other forested’ lands, clear cuts, brush, young deciduous forest</t>
  </si>
  <si>
    <t>Proportion of Functional Riparian Area
Equation: %Class1 + (% Class 2*0.92) + (% Class 3 * 0.66)+(% Class 4*0.04)</t>
  </si>
  <si>
    <t>Cell Count</t>
  </si>
  <si>
    <t>Total</t>
  </si>
  <si>
    <t>Count of cells in each class in the Riparian Buffer</t>
  </si>
  <si>
    <t>Entrench Ratio</t>
  </si>
  <si>
    <t>Cell Counts</t>
  </si>
  <si>
    <t>Linear Trans (miles)</t>
  </si>
  <si>
    <t>Density</t>
  </si>
  <si>
    <t>Number of Crossings</t>
  </si>
  <si>
    <t>*Exclude a crossing at the current site</t>
  </si>
  <si>
    <t>Chinook, spawning and emergence</t>
  </si>
  <si>
    <t>Steelhead, spawning and emergence</t>
  </si>
  <si>
    <t>Coho, spawning and emergence</t>
  </si>
  <si>
    <t>*Key to Species and life stage abbreviations</t>
  </si>
  <si>
    <t>HABITAT QUALITY  - COMPOSITE INDICATOR SUBSCORES</t>
  </si>
  <si>
    <t>Composite Subscore</t>
  </si>
  <si>
    <t>Composite Name</t>
  </si>
  <si>
    <t>Modifier for passage status at site:</t>
  </si>
  <si>
    <t>Eq: ((HabRate rating*Instream_Weight + Nearstream*Nearstream_Weight + Landscape *Landscape_Weight)/ (Instream_Weight +Nearstream_Weight +Landscape_Weight))</t>
  </si>
  <si>
    <t>Totals (acres)</t>
  </si>
  <si>
    <t>Chinook, summer rearing 0+</t>
  </si>
  <si>
    <t>Chinook, winter rearing 0+</t>
  </si>
  <si>
    <t>Steelhead, summer rearing 0+</t>
  </si>
  <si>
    <t>Steelhead, winter rearing 0+</t>
  </si>
  <si>
    <t>Steelhead, summer rearing 1+</t>
  </si>
  <si>
    <t>Steelhead, winter rearing 1+</t>
  </si>
  <si>
    <t>Coho, summer rearing 0+</t>
  </si>
  <si>
    <t>Coho, winter rearing 0+</t>
  </si>
  <si>
    <t xml:space="preserve">http://oregonstate.edu/dept/ODFW/freshwater/inventory/habratereg.htm </t>
  </si>
  <si>
    <t>Oregon Coast Fall Chinook Salmon</t>
  </si>
  <si>
    <t>Oregon Coast Spring Chinook Salmon</t>
  </si>
  <si>
    <t>Oregon Coast Chum Salmon</t>
  </si>
  <si>
    <t>Oregon Coast Summer Steelhead</t>
  </si>
  <si>
    <t>Oregon Coast Winter Steelhead</t>
  </si>
  <si>
    <t xml:space="preserve">Lower Columbia River Summer Steelhead </t>
  </si>
  <si>
    <t xml:space="preserve">Lower Columbia River Winter Steelhead </t>
  </si>
  <si>
    <t>Lower Columbia River Fall Chinook Salmon</t>
  </si>
  <si>
    <t>Lower Columbia River Chum Salmon</t>
  </si>
  <si>
    <t>Oregon Coast Cutthroat Trout</t>
  </si>
  <si>
    <t>Lower Columbia Coastal Cutthroat Trout</t>
  </si>
  <si>
    <t>Oregon Pacific Lamprey</t>
  </si>
  <si>
    <t>V</t>
  </si>
  <si>
    <t>Oregon Western Brook Lamprey</t>
  </si>
  <si>
    <t>Presence Status</t>
  </si>
  <si>
    <t>Current</t>
  </si>
  <si>
    <t>Historic</t>
  </si>
  <si>
    <t>Distribution</t>
  </si>
  <si>
    <t>Above Barrier</t>
  </si>
  <si>
    <t>At/Below Barrier</t>
  </si>
  <si>
    <t>Prot (Value=2)</t>
  </si>
  <si>
    <t>Notes about Riparian Condition (including sources documentation)</t>
  </si>
  <si>
    <t>Notes about Floodplain Interaction (including sources documentation)</t>
  </si>
  <si>
    <t>Notes about Connectivity (including sources documentation)</t>
  </si>
  <si>
    <t>Notes about Water Quality (including sources documentation)</t>
  </si>
  <si>
    <t>Notes about Species Composition (including sources documentation)</t>
  </si>
  <si>
    <t>Notes about Landscape Context (including sources documentation)</t>
  </si>
  <si>
    <t>Notes about Habitat (including sources documentation)</t>
  </si>
  <si>
    <t>Fill in the cells in orange throughout the spreadsheet.   The cells in grey are calculated with formulas.</t>
  </si>
  <si>
    <t>Fish Passage Credit Calculator</t>
  </si>
  <si>
    <t>Species Present</t>
  </si>
  <si>
    <t>Habitat Survey Details</t>
  </si>
  <si>
    <t>Indicator References</t>
  </si>
  <si>
    <t>Indicator</t>
  </si>
  <si>
    <t>Burke et al 2010; Foster et al 2001; Previous NBAs</t>
  </si>
  <si>
    <t>Total Miles</t>
  </si>
  <si>
    <t>Protection:</t>
  </si>
  <si>
    <t>Agriculture land use:</t>
  </si>
  <si>
    <t>Road density:</t>
  </si>
  <si>
    <t>Crossing :</t>
  </si>
  <si>
    <t>Functional Riparian:</t>
  </si>
  <si>
    <t>Entrench:</t>
  </si>
  <si>
    <t>Is fish passage fully blocked or partially blocked by the subject barrier?  Passage status is used to adjust the overall site score.</t>
  </si>
  <si>
    <t>Rule</t>
  </si>
  <si>
    <t>Channel Area</t>
  </si>
  <si>
    <t>PRICHNAREA
(Primary)</t>
  </si>
  <si>
    <t>SECCHNAREA (Secondary)</t>
  </si>
  <si>
    <t>See details below</t>
  </si>
  <si>
    <t>Other 
(Value = 1)</t>
  </si>
  <si>
    <t>Pasture/Hay (Value 81)</t>
  </si>
  <si>
    <t>Size of Contributing Area</t>
  </si>
  <si>
    <t>Cultivated Crops 
(Value 82)</t>
  </si>
  <si>
    <t>Composite Value</t>
  </si>
  <si>
    <t>Instream-HabRate Attributes (Duplicated from Instream-HabRate table)</t>
  </si>
  <si>
    <t>Cover Page</t>
  </si>
  <si>
    <t xml:space="preserve">Nonindigenous Aquatic Species Program </t>
  </si>
  <si>
    <t>http://nas.er.usgs.gov/</t>
  </si>
  <si>
    <t xml:space="preserve">http://chetco-new.dsl.state.or.us/esh/index.html </t>
  </si>
  <si>
    <t>Glossary of Terms</t>
  </si>
  <si>
    <r>
      <t xml:space="preserve">Latitude:
</t>
    </r>
    <r>
      <rPr>
        <sz val="12"/>
        <color indexed="8"/>
        <rFont val="Calibri"/>
        <family val="2"/>
        <scheme val="minor"/>
      </rPr>
      <t>(At the project barrier)</t>
    </r>
  </si>
  <si>
    <r>
      <t xml:space="preserve">Longitude:
</t>
    </r>
    <r>
      <rPr>
        <sz val="12"/>
        <color indexed="8"/>
        <rFont val="Calibri"/>
        <family val="2"/>
        <scheme val="minor"/>
      </rPr>
      <t>(At the project barrier)</t>
    </r>
  </si>
  <si>
    <r>
      <rPr>
        <b/>
        <sz val="12"/>
        <color theme="1"/>
        <rFont val="Calibri"/>
        <family val="2"/>
        <scheme val="minor"/>
      </rPr>
      <t>Barrier at Project Site</t>
    </r>
    <r>
      <rPr>
        <sz val="12"/>
        <color theme="1"/>
        <rFont val="Calibri"/>
        <family val="2"/>
        <scheme val="minor"/>
      </rPr>
      <t>:  Is the barrier identified as a priority on the ODFW Fish Passage Priority List or in another barrier prioritization process (include those done by local watershed councils)? If so, provide the name of the prioritization and the barrier name &amp;/or number.  Priority barriers are not likely to be granted waivers, but for mitigation sites would rank higher.</t>
    </r>
  </si>
  <si>
    <r>
      <rPr>
        <b/>
        <sz val="12"/>
        <color theme="1"/>
        <rFont val="Calibri"/>
        <family val="2"/>
        <scheme val="minor"/>
      </rPr>
      <t>Downstream Barriers:</t>
    </r>
    <r>
      <rPr>
        <sz val="12"/>
        <color theme="1"/>
        <rFont val="Calibri"/>
        <family val="2"/>
        <scheme val="minor"/>
      </rPr>
      <t xml:space="preserve"> Is there an artificial or natural barrier downstream which fully blocks fish passage? Provide the source used to determine this: GIS database, personal communications, or actual field survey. Resident fish populations will still be considered at sites above a full passage barrier.</t>
    </r>
  </si>
  <si>
    <r>
      <t xml:space="preserve">Documentation: </t>
    </r>
    <r>
      <rPr>
        <sz val="12"/>
        <color theme="1"/>
        <rFont val="Calibri"/>
        <family val="2"/>
        <scheme val="minor"/>
      </rPr>
      <t xml:space="preserve">Use this area to add any comments pertaining to the attributes on this tab. </t>
    </r>
  </si>
  <si>
    <r>
      <t>Notes about Passage Status:</t>
    </r>
    <r>
      <rPr>
        <sz val="12"/>
        <color theme="1"/>
        <rFont val="Calibri"/>
        <family val="2"/>
        <scheme val="minor"/>
      </rPr>
      <t xml:space="preserve"> Include documentation of source of answer</t>
    </r>
  </si>
  <si>
    <r>
      <t>Area (m</t>
    </r>
    <r>
      <rPr>
        <vertAlign val="superscript"/>
        <sz val="12"/>
        <color theme="1"/>
        <rFont val="Calibri"/>
        <family val="2"/>
        <scheme val="minor"/>
      </rPr>
      <t>2</t>
    </r>
    <r>
      <rPr>
        <sz val="12"/>
        <color theme="1"/>
        <rFont val="Calibri"/>
        <family val="2"/>
        <scheme val="minor"/>
      </rPr>
      <t>)</t>
    </r>
  </si>
  <si>
    <r>
      <t xml:space="preserve">How much of the contributing area is under agricultural land use? </t>
    </r>
    <r>
      <rPr>
        <sz val="12"/>
        <color indexed="8"/>
        <rFont val="Calibri"/>
        <family val="2"/>
        <scheme val="minor"/>
      </rPr>
      <t>Use the National Land Cover Database (NLCD) 2006 Land Cover Classification to calculate percent of contributing area above project barrier in the ‘Pasture/Hay’ OR ‘Cultivate Crops’ categories.</t>
    </r>
  </si>
  <si>
    <r>
      <rPr>
        <b/>
        <u/>
        <sz val="12"/>
        <rFont val="Calibri"/>
        <family val="2"/>
        <scheme val="minor"/>
      </rPr>
      <t>What is the density of roads &amp; railroads in the contributing area</t>
    </r>
    <r>
      <rPr>
        <b/>
        <sz val="12"/>
        <rFont val="Calibri"/>
        <family val="2"/>
        <scheme val="minor"/>
      </rPr>
      <t xml:space="preserve">? </t>
    </r>
  </si>
  <si>
    <r>
      <t xml:space="preserve"> If &lt;1 mi/mi</t>
    </r>
    <r>
      <rPr>
        <vertAlign val="superscript"/>
        <sz val="12"/>
        <color indexed="8"/>
        <rFont val="Calibri"/>
        <family val="2"/>
        <scheme val="minor"/>
      </rPr>
      <t>2</t>
    </r>
    <r>
      <rPr>
        <sz val="12"/>
        <color indexed="8"/>
        <rFont val="Calibri"/>
        <family val="2"/>
        <scheme val="minor"/>
      </rPr>
      <t>, select A. If 1-2.4 mi/mi</t>
    </r>
    <r>
      <rPr>
        <vertAlign val="superscript"/>
        <sz val="12"/>
        <color indexed="8"/>
        <rFont val="Calibri"/>
        <family val="2"/>
        <scheme val="minor"/>
      </rPr>
      <t>2</t>
    </r>
    <r>
      <rPr>
        <sz val="12"/>
        <color indexed="8"/>
        <rFont val="Calibri"/>
        <family val="2"/>
        <scheme val="minor"/>
      </rPr>
      <t>, select B. If &gt;2.4 mi/mi</t>
    </r>
    <r>
      <rPr>
        <vertAlign val="superscript"/>
        <sz val="12"/>
        <color indexed="8"/>
        <rFont val="Calibri"/>
        <family val="2"/>
        <scheme val="minor"/>
      </rPr>
      <t>2</t>
    </r>
    <r>
      <rPr>
        <sz val="12"/>
        <color indexed="8"/>
        <rFont val="Calibri"/>
        <family val="2"/>
        <scheme val="minor"/>
      </rPr>
      <t>, select C.</t>
    </r>
  </si>
  <si>
    <r>
      <t>Contributing area (miles</t>
    </r>
    <r>
      <rPr>
        <vertAlign val="superscript"/>
        <sz val="12"/>
        <color theme="1"/>
        <rFont val="Calibri"/>
        <family val="2"/>
        <scheme val="minor"/>
      </rPr>
      <t>2</t>
    </r>
    <r>
      <rPr>
        <sz val="12"/>
        <color theme="1"/>
        <rFont val="Calibri"/>
        <family val="2"/>
        <scheme val="minor"/>
      </rPr>
      <t>)</t>
    </r>
  </si>
  <si>
    <t>Partially Blocked: Adult &amp; Juv.</t>
  </si>
  <si>
    <t>Max Value for each species</t>
  </si>
  <si>
    <t>Minimum Value for each species</t>
  </si>
  <si>
    <t>Credits if a Mitigation Site</t>
  </si>
  <si>
    <t>Debits if an Impact Site</t>
  </si>
  <si>
    <r>
      <rPr>
        <b/>
        <sz val="12"/>
        <color theme="1"/>
        <rFont val="Calibri"/>
        <family val="2"/>
        <scheme val="minor"/>
      </rPr>
      <t>Instream Habitat Quality</t>
    </r>
    <r>
      <rPr>
        <sz val="12"/>
        <color theme="1"/>
        <rFont val="Calibri"/>
        <family val="2"/>
        <scheme val="minor"/>
      </rPr>
      <t>: HabRate for each species and life stage</t>
    </r>
  </si>
  <si>
    <r>
      <rPr>
        <b/>
        <sz val="12"/>
        <color theme="1"/>
        <rFont val="Calibri"/>
        <family val="2"/>
        <scheme val="minor"/>
      </rPr>
      <t>Nearstream Composite Score</t>
    </r>
    <r>
      <rPr>
        <sz val="12"/>
        <color theme="1"/>
        <rFont val="Calibri"/>
        <family val="2"/>
        <scheme val="minor"/>
      </rPr>
      <t>:   AVERAGE(%FuncRip,Entrench,Floodplain)</t>
    </r>
  </si>
  <si>
    <r>
      <rPr>
        <b/>
        <sz val="12"/>
        <color theme="1"/>
        <rFont val="Calibri"/>
        <family val="2"/>
        <scheme val="minor"/>
      </rPr>
      <t>Supporting Landscape Composite Score</t>
    </r>
    <r>
      <rPr>
        <sz val="12"/>
        <color theme="1"/>
        <rFont val="Calibri"/>
        <family val="2"/>
        <scheme val="minor"/>
      </rPr>
      <t>:   AVERAGE((Max(%Protect,%ProtRip), StrmXDen, Av(RoadDens,%AgNLCD,DEQ303d),NNSpec)</t>
    </r>
  </si>
  <si>
    <r>
      <t>Area (m</t>
    </r>
    <r>
      <rPr>
        <b/>
        <vertAlign val="superscript"/>
        <sz val="12"/>
        <color theme="1"/>
        <rFont val="Calibri"/>
        <family val="2"/>
        <scheme val="minor"/>
      </rPr>
      <t>2</t>
    </r>
    <r>
      <rPr>
        <b/>
        <sz val="12"/>
        <color theme="1"/>
        <rFont val="Calibri"/>
        <family val="2"/>
        <scheme val="minor"/>
      </rPr>
      <t>)</t>
    </r>
  </si>
  <si>
    <r>
      <t>Totals (m</t>
    </r>
    <r>
      <rPr>
        <vertAlign val="superscript"/>
        <sz val="12"/>
        <color theme="1"/>
        <rFont val="Calibri"/>
        <family val="2"/>
        <scheme val="minor"/>
      </rPr>
      <t>2</t>
    </r>
    <r>
      <rPr>
        <sz val="12"/>
        <color theme="1"/>
        <rFont val="Calibri"/>
        <family val="2"/>
        <scheme val="minor"/>
      </rPr>
      <t>)</t>
    </r>
  </si>
  <si>
    <t>ST_S*</t>
  </si>
  <si>
    <t>ST_W*</t>
  </si>
  <si>
    <t>* ST_S and ST_W are averages of ST_S0 and ST_S1, and ST_W0 and ST_W2, respectively.</t>
  </si>
  <si>
    <t>Percent Agriculture</t>
  </si>
  <si>
    <t>Percent Protected</t>
  </si>
  <si>
    <t>DEQ 303(d)</t>
  </si>
  <si>
    <t>FLOODPLAIN INDICATORS</t>
  </si>
  <si>
    <t>Percent of Credits</t>
  </si>
  <si>
    <t>FOR LOOKUP (Must be sorted)</t>
  </si>
  <si>
    <t>Modifier*</t>
  </si>
  <si>
    <t>Essential Habitat Designation</t>
  </si>
  <si>
    <t>* Fully blocked, 100% of credits; Partially blocked: adult &amp; juvenile, 80% of credits; Partially blocked: juvenile only, 60% of credits</t>
  </si>
  <si>
    <t>Partially Blocked: Juveniles Only</t>
  </si>
  <si>
    <t>Miles of Potential Fish Use Above the Barrier:</t>
  </si>
  <si>
    <r>
      <rPr>
        <b/>
        <u/>
        <sz val="12"/>
        <rFont val="Calibri"/>
        <family val="2"/>
        <scheme val="minor"/>
      </rPr>
      <t xml:space="preserve">What percent of the total miles available for fish use above the barrier has suitable fish habitat data available? </t>
    </r>
    <r>
      <rPr>
        <sz val="12"/>
        <rFont val="Calibri"/>
        <family val="2"/>
        <scheme val="minor"/>
      </rPr>
      <t xml:space="preserve">
Determine the percentage of the “TotMiles” indicator entered above for which suitable in-stream habitat survey data is available.  Only include data meeting acceptability standards defined in the protocol document. Contact ODFW Corvallis Research Lab to request habitat ratings based on ODFW surveys done previously in any portion of the TotMiles entered above. Enter data in “HabArea” indicator below.</t>
    </r>
  </si>
  <si>
    <r>
      <rPr>
        <b/>
        <u/>
        <sz val="12"/>
        <rFont val="Calibri"/>
        <family val="2"/>
        <scheme val="minor"/>
      </rPr>
      <t>What is the current status of fish passage at the site?</t>
    </r>
    <r>
      <rPr>
        <b/>
        <sz val="12"/>
        <rFont val="Calibri"/>
        <family val="2"/>
        <scheme val="minor"/>
      </rPr>
      <t xml:space="preserve">
</t>
    </r>
    <r>
      <rPr>
        <sz val="12"/>
        <rFont val="Calibri"/>
        <family val="2"/>
        <scheme val="minor"/>
      </rPr>
      <t>A fully blocked barrier is one which prevents passage of all native migratory fish during all life stages and all flow conditions. A partially blocked barrier blocks passage of at least one native fish species at one life stage or during certain stream conditions.</t>
    </r>
  </si>
  <si>
    <r>
      <t xml:space="preserve">What are the total </t>
    </r>
    <r>
      <rPr>
        <b/>
        <u/>
        <sz val="12"/>
        <rFont val="Calibri"/>
        <family val="2"/>
        <scheme val="minor"/>
      </rPr>
      <t>miles of potential fish use</t>
    </r>
    <r>
      <rPr>
        <b/>
        <u/>
        <sz val="12"/>
        <color indexed="8"/>
        <rFont val="Calibri"/>
        <family val="2"/>
        <scheme val="minor"/>
      </rPr>
      <t xml:space="preserve"> above the current barrier? 
</t>
    </r>
    <r>
      <rPr>
        <sz val="12"/>
        <color indexed="8"/>
        <rFont val="Calibri"/>
        <family val="2"/>
        <scheme val="minor"/>
      </rPr>
      <t>Calculate the total potential fish use stream length (including secondary channels and tributaries) above the barrier according to the ODF Fish Presence database.</t>
    </r>
  </si>
  <si>
    <t>Miles of potential fish use above the current barrier</t>
  </si>
  <si>
    <t>If the percent of upstream fish use length for which habitat data is available is less than 80%, then gather necessary field data according to protocols. Then recalculate %Hdata including the new field data and run the HabRate model with the additional data before proceeding.</t>
  </si>
  <si>
    <r>
      <t>What is the habitat quality and total area (meters</t>
    </r>
    <r>
      <rPr>
        <b/>
        <u/>
        <vertAlign val="superscript"/>
        <sz val="12"/>
        <color indexed="8"/>
        <rFont val="Calibri"/>
        <family val="2"/>
        <scheme val="minor"/>
      </rPr>
      <t>2</t>
    </r>
    <r>
      <rPr>
        <b/>
        <u/>
        <sz val="12"/>
        <color indexed="8"/>
        <rFont val="Calibri"/>
        <family val="2"/>
        <scheme val="minor"/>
      </rPr>
      <t xml:space="preserve">) available for different life stages and species of native migratory fish above the current barrier? 
</t>
    </r>
    <r>
      <rPr>
        <sz val="12"/>
        <color indexed="8"/>
        <rFont val="Calibri"/>
        <family val="2"/>
        <scheme val="minor"/>
      </rPr>
      <t>Enter the stream area of reaches above the barrier and the associated habitat quality ratings from HabRate. Stream area is defined as bankfull width</t>
    </r>
    <r>
      <rPr>
        <sz val="12"/>
        <rFont val="Calibri"/>
        <family val="2"/>
        <scheme val="minor"/>
      </rPr>
      <t xml:space="preserve"> (i.e</t>
    </r>
    <r>
      <rPr>
        <sz val="12"/>
        <color indexed="8"/>
        <rFont val="Calibri"/>
        <family val="2"/>
        <scheme val="minor"/>
      </rPr>
      <t>. active channel width measured at the ordinary high water mark) times length of primary and secondary channels.</t>
    </r>
  </si>
  <si>
    <r>
      <rPr>
        <b/>
        <u/>
        <sz val="12"/>
        <color indexed="8"/>
        <rFont val="Calibri"/>
        <family val="2"/>
        <scheme val="minor"/>
      </rPr>
      <t>What is the percentage of functional riparian area along fish use streams above the current barrier</t>
    </r>
    <r>
      <rPr>
        <b/>
        <sz val="12"/>
        <color indexed="8"/>
        <rFont val="Calibri"/>
        <family val="2"/>
        <scheme val="minor"/>
      </rPr>
      <t xml:space="preserve">? </t>
    </r>
    <r>
      <rPr>
        <sz val="12"/>
        <color indexed="8"/>
        <rFont val="Calibri"/>
        <family val="2"/>
        <scheme val="minor"/>
      </rPr>
      <t>The proportion of each forest seral class in the riparian buffer (300' on either side of the stream) is used to determine functional riparian area.</t>
    </r>
  </si>
  <si>
    <t>Buffered Stream Network</t>
  </si>
  <si>
    <r>
      <rPr>
        <b/>
        <u/>
        <sz val="12"/>
        <color indexed="8"/>
        <rFont val="Calibri"/>
        <family val="2"/>
        <scheme val="minor"/>
      </rPr>
      <t xml:space="preserve">To what extent do non-native aquatic animal species pose a threat to native fish? </t>
    </r>
    <r>
      <rPr>
        <sz val="12"/>
        <rFont val="Calibri"/>
        <family val="2"/>
        <scheme val="minor"/>
      </rPr>
      <t>Presence of individuals of observed or likely reproducing population of non-native aquatic animal species (vertebrate or invertebrate) within the fish-use stream length that are likely to significantly threaten native fish. From spatial database of known presence (see References tab) &amp;/or consult with local ODFW District Biologist.</t>
    </r>
  </si>
  <si>
    <r>
      <t xml:space="preserve">What is the density of road &amp; railroad stream crossings in the upstream network? </t>
    </r>
    <r>
      <rPr>
        <sz val="12"/>
        <color indexed="8"/>
        <rFont val="Calibri"/>
        <family val="2"/>
        <scheme val="minor"/>
      </rPr>
      <t xml:space="preserve">Number of road/railroad and hydrography intersections above the project site divided by the total upstream length. </t>
    </r>
  </si>
  <si>
    <t>Credits/Debits: Discounted for passage status at site</t>
  </si>
  <si>
    <t>GIS Inputs Worksheets</t>
  </si>
  <si>
    <t>Net Benefits by Species: Quality-Adjusted Acres</t>
  </si>
  <si>
    <t>COVER PAGE</t>
  </si>
  <si>
    <t>Project Type</t>
  </si>
  <si>
    <t>Impact</t>
  </si>
  <si>
    <t>Mitigation</t>
  </si>
  <si>
    <t>Debit</t>
  </si>
  <si>
    <t>Credit</t>
  </si>
  <si>
    <t>Count Type</t>
  </si>
  <si>
    <t>Project Type:</t>
  </si>
  <si>
    <r>
      <t>A: &lt;1 mi/mi</t>
    </r>
    <r>
      <rPr>
        <vertAlign val="superscript"/>
        <sz val="12"/>
        <color theme="1"/>
        <rFont val="Calibri"/>
        <family val="2"/>
        <scheme val="minor"/>
      </rPr>
      <t>2</t>
    </r>
  </si>
  <si>
    <r>
      <t>B: 1-2.4 mi/mi</t>
    </r>
    <r>
      <rPr>
        <vertAlign val="superscript"/>
        <sz val="12"/>
        <color theme="1"/>
        <rFont val="Calibri"/>
        <family val="2"/>
        <scheme val="minor"/>
      </rPr>
      <t>2</t>
    </r>
  </si>
  <si>
    <r>
      <t>C: &gt;2.4 mi/mi</t>
    </r>
    <r>
      <rPr>
        <vertAlign val="superscript"/>
        <sz val="12"/>
        <color theme="1"/>
        <rFont val="Calibri"/>
        <family val="2"/>
        <scheme val="minor"/>
      </rPr>
      <t>2</t>
    </r>
  </si>
  <si>
    <t>Contributing Area Cell Count</t>
  </si>
  <si>
    <t>INSTREAM INDICATORS</t>
  </si>
  <si>
    <t>Length (miles) of Upstream Network</t>
  </si>
  <si>
    <t>General Instructions for using this  Calculator</t>
  </si>
  <si>
    <t>Consult the associated GIS Interface User's Manual for instructions on using GIS data for inputs to the calculator</t>
  </si>
  <si>
    <t>After each section of indicators, there is a notes field.  Use this area to add any comments pertaining to the indicators.  Describe the data sources used to complete the forms, including references' author names and dates as appropriate.  Include persons and/or agencies that provided information.  List GIS data sources referenced for the project site, including a description of how complete the data is considered to be for the project area.  Provide a brief description of data collected in the field and a reference to the complete survey data.  For all sources indicate the recentness of the information (if known).</t>
  </si>
  <si>
    <t>Contents:</t>
  </si>
  <si>
    <t>Contains general information about a site.</t>
  </si>
  <si>
    <t>Instream-HabRate</t>
  </si>
  <si>
    <t xml:space="preserve">Contains HabRate ratings for each stream reach upstream of a barrier by species and lifestage. </t>
  </si>
  <si>
    <t>Riparian &amp; Floodplain</t>
  </si>
  <si>
    <t>Contains indicators that describe a stream’s riparian condition and interaction with its floodplain.</t>
  </si>
  <si>
    <t>Supporting landscape</t>
  </si>
  <si>
    <t>Contains indicators that describe landscape level effects on fish habitat.</t>
  </si>
  <si>
    <t>Credit Calculations</t>
  </si>
  <si>
    <t>Takes data from 3 previous tabs to calculate Credits/Debits as quality-adjusted acres of fish habitat</t>
  </si>
  <si>
    <t>Comments Log</t>
  </si>
  <si>
    <t>Track comments from Project Team about draft versions of the calculator and how those were addressed</t>
  </si>
  <si>
    <t>References and websites utilized in development of the indicators and as potential data sources</t>
  </si>
  <si>
    <t>HabRate Summary</t>
  </si>
  <si>
    <t>Abstract of the HabRate model and attributes used in its calculations</t>
  </si>
  <si>
    <t>Dropdown Lists</t>
  </si>
  <si>
    <t>Look-up tables used by the calculator for dropdown lists entries</t>
  </si>
  <si>
    <t>Active Channel Width</t>
  </si>
  <si>
    <t>means the stream width between the ordinary high water lines, or at the channel bankfull elevation if the ordinary high water lines are indeterminate.</t>
  </si>
  <si>
    <t>Bankfull elevation</t>
  </si>
  <si>
    <t>means the point on a stream bank at which overflow into a floodplain begins.</t>
  </si>
  <si>
    <t>Bankfull Width</t>
  </si>
  <si>
    <t>is the active channel width measured at the ordinary high water mark.</t>
  </si>
  <si>
    <t>Buffered Upstream Network</t>
  </si>
  <si>
    <t>all the streams above the project barrier along with a riparian buffer zone extending 300’ on each side of the stream.</t>
  </si>
  <si>
    <t>contributing watershed, or total upstream watershed, defined by the total upstream drainage area above the subject barrier.</t>
  </si>
  <si>
    <t>Entrenchment Ratio</t>
  </si>
  <si>
    <t>defined as the flood prone width divided by the bankfull or active channel width.</t>
  </si>
  <si>
    <t>Fish-Use Stream Length</t>
  </si>
  <si>
    <t>Flood Prone Area</t>
  </si>
  <si>
    <t>defined by measuring the width of the channel at twice bankfull depth (AREMP 2005).</t>
  </si>
  <si>
    <t>Functional Riparian Area</t>
  </si>
  <si>
    <t>the area of fish-use streams along with a riparian zone extending 300’ on each side of the stream that is assessed for its degree of functionality based on forest seral class and associated riparian function modifiers (Maher et al. 2005; Beamer et al. 2000).</t>
  </si>
  <si>
    <t>HabRate</t>
  </si>
  <si>
    <t>a model developed to assess the potential quality of stream habitat using stream survey data for each juvenile life stage of salmon and steelhead (Burke et al. 2010).</t>
  </si>
  <si>
    <t>Riparian Buffer</t>
  </si>
  <si>
    <t>as defined in the NW Forest Plan Aquatic Conservation Strategy buffer for fish-bearing streams (USDA &amp; USDI 2005) which is 300' slope distance (600' total, including both sides of the stream channel).</t>
  </si>
  <si>
    <t xml:space="preserve">Ordinary high water line (OHWL) </t>
  </si>
  <si>
    <t>means the line on the bank or shore to which the high water ordinarily rises annually in season. (see OAR 141-085-0010 for physical characteristics that can be used to determine the OHWL in the field.)</t>
  </si>
  <si>
    <t>Project Barrier</t>
  </si>
  <si>
    <t>the culvert or other type of barrier that is being evaluated in the Fish Passage Credit Calculator either as a waiver request or a potential mitigation site.</t>
  </si>
  <si>
    <t>Stream Area</t>
  </si>
  <si>
    <t>is defined as bankfull width times length of primary and secondary channels.</t>
  </si>
  <si>
    <t>Upstream Network</t>
  </si>
  <si>
    <t>all streams above the project barrier as identified on the National Hydrography Dataset (1:24,000 scale) irrespective of stream size or fish presence.</t>
  </si>
  <si>
    <r>
      <t xml:space="preserve">Project Description: </t>
    </r>
    <r>
      <rPr>
        <sz val="12"/>
        <color indexed="8"/>
        <rFont val="Calibri"/>
        <family val="2"/>
        <scheme val="minor"/>
      </rPr>
      <t>Provide a general description of where the project is located, type of barrier, etc.</t>
    </r>
  </si>
  <si>
    <r>
      <rPr>
        <b/>
        <sz val="12"/>
        <color theme="1"/>
        <rFont val="Calibri"/>
        <family val="2"/>
        <scheme val="minor"/>
      </rPr>
      <t>Additional Habitat Designation</t>
    </r>
    <r>
      <rPr>
        <sz val="12"/>
        <color theme="1"/>
        <rFont val="Calibri"/>
        <family val="2"/>
        <scheme val="minor"/>
      </rPr>
      <t>: Has a special habitat designation (other than Oregon Department of State Lands (DSL) Essential Salmonid Habitat) been identified for any species in the project fish-use stream length?</t>
    </r>
  </si>
  <si>
    <r>
      <rPr>
        <b/>
        <sz val="12"/>
        <color theme="1"/>
        <rFont val="Calibri"/>
        <family val="2"/>
        <scheme val="minor"/>
      </rPr>
      <t>Potential Restoration:</t>
    </r>
    <r>
      <rPr>
        <sz val="12"/>
        <color theme="1"/>
        <rFont val="Calibri"/>
        <family val="2"/>
        <scheme val="minor"/>
      </rPr>
      <t xml:space="preserve"> Are any agencies or organizations currently planning restoration projects within the fish-use stream length of the project site?</t>
    </r>
  </si>
  <si>
    <r>
      <rPr>
        <b/>
        <sz val="12"/>
        <color theme="1"/>
        <rFont val="Calibri"/>
        <family val="2"/>
        <scheme val="minor"/>
      </rPr>
      <t>Special Features:</t>
    </r>
    <r>
      <rPr>
        <sz val="12"/>
        <color theme="1"/>
        <rFont val="Calibri"/>
        <family val="2"/>
        <scheme val="minor"/>
      </rPr>
      <t xml:space="preserve"> List any special aquatic habitat features (large logjams, wooded wetlands, numerous connected riparian wetlands, beaver-pond complexes, groundwater dependent ecosystems, native fish populations with diverse life histories, etc.) in the project fish-use stream length.</t>
    </r>
  </si>
  <si>
    <r>
      <rPr>
        <b/>
        <sz val="12"/>
        <color theme="1"/>
        <rFont val="Calibri"/>
        <family val="2"/>
        <scheme val="minor"/>
      </rPr>
      <t>Land ownership:</t>
    </r>
    <r>
      <rPr>
        <sz val="12"/>
        <color theme="1"/>
        <rFont val="Calibri"/>
        <family val="2"/>
        <scheme val="minor"/>
      </rPr>
      <t xml:space="preserve"> Describe the land ownership at the project barrier and contributing area.  Ownership patterns will not affect the credit calculation, and are for informational purposes only.</t>
    </r>
  </si>
  <si>
    <r>
      <t>Has the channel bed eroded to a point that would influence channel-floodplain interactions?</t>
    </r>
    <r>
      <rPr>
        <sz val="12"/>
        <color indexed="8"/>
        <rFont val="Calibri"/>
        <family val="2"/>
        <scheme val="minor"/>
      </rPr>
      <t xml:space="preserve"> What % of the potential fish use stream length above the barrier has entrenchment ratio &gt; 1 (indicating good floodplain interaction)? Entrenchment ratios are measured during Aquatic Inventory surveys. (See Glossary on Introduction page for formula)</t>
    </r>
  </si>
  <si>
    <t>Other 
(Value=1)</t>
  </si>
  <si>
    <t>Prot 
(Value =2)</t>
  </si>
  <si>
    <r>
      <rPr>
        <b/>
        <u/>
        <sz val="12"/>
        <color indexed="8"/>
        <rFont val="Calibri"/>
        <family val="2"/>
        <scheme val="minor"/>
      </rPr>
      <t>What percentage of the</t>
    </r>
    <r>
      <rPr>
        <b/>
        <i/>
        <u/>
        <sz val="12"/>
        <color indexed="8"/>
        <rFont val="Calibri"/>
        <family val="2"/>
        <scheme val="minor"/>
      </rPr>
      <t xml:space="preserve"> contributing area</t>
    </r>
    <r>
      <rPr>
        <b/>
        <u/>
        <sz val="12"/>
        <color indexed="8"/>
        <rFont val="Calibri"/>
        <family val="2"/>
        <scheme val="minor"/>
      </rPr>
      <t xml:space="preserve"> is allocated to management categories of Protection, Preservation, or Retention</t>
    </r>
    <r>
      <rPr>
        <b/>
        <sz val="12"/>
        <color indexed="8"/>
        <rFont val="Calibri"/>
        <family val="2"/>
        <scheme val="minor"/>
      </rPr>
      <t>?</t>
    </r>
    <r>
      <rPr>
        <sz val="12"/>
        <color indexed="8"/>
        <rFont val="Calibri"/>
        <family val="2"/>
        <scheme val="minor"/>
      </rPr>
      <t xml:space="preserve"> Use Integrated Landscape Assessment Project (ILAP) database to calculate percent of contributing area above project barrier in these categories. </t>
    </r>
  </si>
  <si>
    <r>
      <t>What percentage of the</t>
    </r>
    <r>
      <rPr>
        <b/>
        <i/>
        <u/>
        <sz val="12"/>
        <color indexed="8"/>
        <rFont val="Calibri"/>
        <family val="2"/>
        <scheme val="minor"/>
      </rPr>
      <t xml:space="preserve"> buffered upstream network</t>
    </r>
    <r>
      <rPr>
        <b/>
        <u/>
        <sz val="12"/>
        <color indexed="8"/>
        <rFont val="Calibri"/>
        <family val="2"/>
        <scheme val="minor"/>
      </rPr>
      <t xml:space="preserve"> is allocated to management categories of Protection, Preservation, or Retention? </t>
    </r>
    <r>
      <rPr>
        <sz val="12"/>
        <color indexed="8"/>
        <rFont val="Calibri"/>
        <family val="2"/>
        <scheme val="minor"/>
      </rPr>
      <t>Use Integrated Landscape Assessment Project (ILAP) database to calculate percent of buffered stream network above project barrier in these categories. See References tab for category definitions.</t>
    </r>
  </si>
  <si>
    <t>What level of threat do non-native/exotic aquatic animal species present?
Trace/None, Somewhat, or Significant.</t>
  </si>
  <si>
    <t>DEQ Water Quality</t>
  </si>
  <si>
    <r>
      <rPr>
        <b/>
        <u/>
        <sz val="12"/>
        <color indexed="8"/>
        <rFont val="Calibri"/>
        <family val="2"/>
        <scheme val="minor"/>
      </rPr>
      <t>Is any part of the project's fish-use stream length on the DEQ 303d list or a TMDL for impairment of any water quality parameter</t>
    </r>
    <r>
      <rPr>
        <b/>
        <sz val="12"/>
        <color indexed="8"/>
        <rFont val="Calibri"/>
        <family val="2"/>
        <scheme val="minor"/>
      </rPr>
      <t xml:space="preserve">? </t>
    </r>
    <r>
      <rPr>
        <sz val="12"/>
        <color indexed="8"/>
        <rFont val="Calibri"/>
        <family val="2"/>
        <scheme val="minor"/>
      </rPr>
      <t xml:space="preserve"> If no 303d or TMDL information is available for this location, but there are water quality data or measurements made repeatedly with adequate quality assurance that indicate chronic problems, they should be considered. </t>
    </r>
  </si>
  <si>
    <t xml:space="preserve">http://www.deq.state.or.us/wq/assessment/rpt2010/search.asp </t>
  </si>
  <si>
    <t>http://deq12.deq.state.or.us/lasar2/default.aspx)</t>
  </si>
  <si>
    <t>ODF Fish-use stream definition (OAR 629-635-0200)
Bailey 2012; Pilson 2012</t>
  </si>
  <si>
    <t>Loffink 2013;
Previous ODFW Net Benefit Analyses (NBA)</t>
  </si>
  <si>
    <t>Maher et al. 2005; Beamer et al. 2000; USDA &amp; USDI 2005; Previous NBAs</t>
  </si>
  <si>
    <t>Foster et al 2001; AREMP 2005</t>
  </si>
  <si>
    <t>Or. Stream Functional Assessment; Potyondy &amp; Geier 2011</t>
  </si>
  <si>
    <t>Integrated Landscape Assessment Project (OSU, USFS, INR); Or. Stream Functional Assessment</t>
  </si>
  <si>
    <t>%ProtRip &amp;
%Protect</t>
  </si>
  <si>
    <t>Loffink 2013; Previous NBAs</t>
  </si>
  <si>
    <t>Maher et al. 2005; Potyondy &amp; Geier 2011; Previous NBAs</t>
  </si>
  <si>
    <t>Potyondy &amp; Geier 2011</t>
  </si>
  <si>
    <t>AREMP 2005; Martin and Apse 2013; Pilson 2012</t>
  </si>
  <si>
    <r>
      <rPr>
        <b/>
        <sz val="11"/>
        <color theme="1"/>
        <rFont val="Calibri"/>
        <family val="2"/>
        <scheme val="minor"/>
      </rPr>
      <t>Bailey, S. 2012.</t>
    </r>
    <r>
      <rPr>
        <sz val="11"/>
        <color theme="1"/>
        <rFont val="Calibri"/>
        <family val="2"/>
        <scheme val="minor"/>
      </rPr>
      <t xml:space="preserve"> Culvert Assessment and Prioritization Plan for Fish Passage in the Tillamook Bay Watershed, Tillamook County, Oregon – Version 1.1. Report to Tillamook Estuaries Partnership, Garibaldi, Oregon. 259 pp. </t>
    </r>
  </si>
  <si>
    <r>
      <rPr>
        <b/>
        <sz val="11"/>
        <color theme="1"/>
        <rFont val="Calibri"/>
        <family val="2"/>
        <scheme val="minor"/>
      </rPr>
      <t>Pilson, S. 2012.</t>
    </r>
    <r>
      <rPr>
        <sz val="11"/>
        <color theme="1"/>
        <rFont val="Calibri"/>
        <family val="2"/>
        <scheme val="minor"/>
      </rPr>
      <t xml:space="preserve"> Prioritizing Fish Passage Barrier Removal at the Sub-basin-scale: A Strategy for the Tillamook-Nestucca Sub-Basin, Tillamook County, Oregon. Submitted in partial fulfillment of the requirements for the degree Master of Environmental Management, Portland State University. Portland, Oregon. 59 pp.</t>
    </r>
  </si>
  <si>
    <r>
      <rPr>
        <b/>
        <sz val="11"/>
        <color theme="1"/>
        <rFont val="Calibri"/>
        <family val="2"/>
        <scheme val="minor"/>
      </rPr>
      <t>Beamer, E., T. Beechie, B. Perkowski, and J. Klochak. 2000.</t>
    </r>
    <r>
      <rPr>
        <sz val="11"/>
        <color theme="1"/>
        <rFont val="Calibri"/>
        <family val="2"/>
        <scheme val="minor"/>
      </rPr>
      <t xml:space="preserve"> River Basin Analysis of the Skagit and Samish Basins: Tools for Salmon Habitat Restoration and Protection. Report to Skagit Watershed Council, Mt. Vernon, Washington. 86 pp.</t>
    </r>
  </si>
  <si>
    <r>
      <rPr>
        <b/>
        <sz val="11"/>
        <color theme="1"/>
        <rFont val="Calibri"/>
        <family val="2"/>
        <scheme val="minor"/>
      </rPr>
      <t>Potyondy, J. P., &amp; Geier, T. W. 2011.</t>
    </r>
    <r>
      <rPr>
        <sz val="11"/>
        <color theme="1"/>
        <rFont val="Calibri"/>
        <family val="2"/>
        <scheme val="minor"/>
      </rPr>
      <t xml:space="preserve"> Watershed Condition Classification Technical Guide. Washington, DC: US Department of Agriculture, 5-6.</t>
    </r>
  </si>
  <si>
    <t>If you wish to print only the data portions of this workbook, either set your print options to "Print entire workbook" &amp; limit the pages to 2 thru 8, or print tabs individually.</t>
  </si>
  <si>
    <t>Passage Status at Project Barrier</t>
  </si>
  <si>
    <t xml:space="preserve">“fish-use” streams as detailed in Oregon Forest Practices Rule guidance (see OAR 629-635-0200) and represented in the Fish Presence GIS data modeled by ODF. May also be termed “fish-bearing reaches”. </t>
  </si>
  <si>
    <t>Composite Habitat Quality by Reach</t>
  </si>
  <si>
    <t>Eq: (% of optimal Composite Habitat Quality by Reach *Reach Area)</t>
  </si>
  <si>
    <t>Class 1 Late Seral</t>
  </si>
  <si>
    <t>Class 2 Mid Seral</t>
  </si>
  <si>
    <t>Class 3 Early Seral</t>
  </si>
  <si>
    <t>Class 5 Non-forested</t>
  </si>
  <si>
    <t>% class 5: ‘non-forested’ lands, including rock, urban areas, agricultural land, etc.</t>
  </si>
  <si>
    <t>Field Data Required</t>
  </si>
  <si>
    <r>
      <rPr>
        <b/>
        <sz val="12"/>
        <color theme="1"/>
        <rFont val="Calibri"/>
        <family val="2"/>
        <scheme val="minor"/>
      </rPr>
      <t>Fish Species</t>
    </r>
    <r>
      <rPr>
        <sz val="12"/>
        <color theme="1"/>
        <rFont val="Calibri"/>
        <family val="2"/>
        <scheme val="minor"/>
      </rPr>
      <t xml:space="preserve">:  Put an X in the appropriate columns for the native migratory fish species present based on ODFW's Fish Habitat Distribution database and confirm with local ODFW District Biologist.    Status abbreviations: T = Threatened, E = Endangered, C = Critical, V = Vulnerable.  'Current' presence status in the GIS data is indicated by a status other than 'Historic', for example 'Spawning'. </t>
    </r>
  </si>
  <si>
    <t xml:space="preserve">Essential Indicators Provided? </t>
  </si>
  <si>
    <r>
      <t>For each Category</t>
    </r>
    <r>
      <rPr>
        <b/>
        <sz val="14"/>
        <color theme="1"/>
        <rFont val="Calibri"/>
        <family val="2"/>
        <scheme val="minor"/>
      </rPr>
      <t>,</t>
    </r>
    <r>
      <rPr>
        <sz val="14"/>
        <color theme="1"/>
        <rFont val="Calibri"/>
        <family val="2"/>
        <scheme val="minor"/>
      </rPr>
      <t xml:space="preserve"> the </t>
    </r>
    <r>
      <rPr>
        <b/>
        <sz val="14"/>
        <color theme="1"/>
        <rFont val="Calibri"/>
        <family val="2"/>
        <scheme val="minor"/>
      </rPr>
      <t xml:space="preserve">Essential Indicators </t>
    </r>
    <r>
      <rPr>
        <sz val="14"/>
        <color theme="1"/>
        <rFont val="Calibri"/>
        <family val="2"/>
        <scheme val="minor"/>
      </rPr>
      <t>are:</t>
    </r>
    <r>
      <rPr>
        <b/>
        <sz val="14"/>
        <color theme="1"/>
        <rFont val="Calibri"/>
        <family val="2"/>
        <scheme val="minor"/>
      </rPr>
      <t xml:space="preserve">
</t>
    </r>
    <r>
      <rPr>
        <b/>
        <sz val="12"/>
        <color theme="1"/>
        <rFont val="Calibri"/>
        <family val="2"/>
        <scheme val="minor"/>
      </rPr>
      <t xml:space="preserve">   </t>
    </r>
    <r>
      <rPr>
        <sz val="14"/>
        <color theme="1"/>
        <rFont val="Calibri"/>
        <family val="2"/>
        <scheme val="minor"/>
      </rPr>
      <t xml:space="preserve">
</t>
    </r>
    <r>
      <rPr>
        <b/>
        <sz val="14"/>
        <color theme="1"/>
        <rFont val="Calibri"/>
        <family val="2"/>
        <scheme val="minor"/>
      </rPr>
      <t>Instream Habitat</t>
    </r>
    <r>
      <rPr>
        <sz val="14"/>
        <color theme="1"/>
        <rFont val="Calibri"/>
        <family val="2"/>
        <scheme val="minor"/>
      </rPr>
      <t xml:space="preserve">:  HabRate results 
</t>
    </r>
    <r>
      <rPr>
        <sz val="12"/>
        <color theme="1"/>
        <rFont val="Calibri"/>
        <family val="2"/>
        <scheme val="minor"/>
      </rPr>
      <t xml:space="preserve">   </t>
    </r>
    <r>
      <rPr>
        <sz val="14"/>
        <color theme="1"/>
        <rFont val="Calibri"/>
        <family val="2"/>
        <scheme val="minor"/>
      </rPr>
      <t xml:space="preserve">
</t>
    </r>
    <r>
      <rPr>
        <b/>
        <sz val="14"/>
        <color theme="1"/>
        <rFont val="Calibri"/>
        <family val="2"/>
        <scheme val="minor"/>
      </rPr>
      <t xml:space="preserve">Riparian &amp; Floodplain Interactions: </t>
    </r>
    <r>
      <rPr>
        <sz val="14"/>
        <color theme="1"/>
        <rFont val="Calibri"/>
        <family val="2"/>
        <scheme val="minor"/>
      </rPr>
      <t xml:space="preserve"> % FuncRip, plus atleast 1 of the floodplain interaction indicators (Entrench or Floodplain) 
</t>
    </r>
    <r>
      <rPr>
        <sz val="12"/>
        <color theme="1"/>
        <rFont val="Calibri"/>
        <family val="2"/>
        <scheme val="minor"/>
      </rPr>
      <t xml:space="preserve">    </t>
    </r>
    <r>
      <rPr>
        <sz val="14"/>
        <color theme="1"/>
        <rFont val="Calibri"/>
        <family val="2"/>
        <scheme val="minor"/>
      </rPr>
      <t xml:space="preserve">
</t>
    </r>
    <r>
      <rPr>
        <b/>
        <sz val="14"/>
        <color theme="1"/>
        <rFont val="Calibri"/>
        <family val="2"/>
        <scheme val="minor"/>
      </rPr>
      <t>Suporting Landscape Context</t>
    </r>
    <r>
      <rPr>
        <sz val="14"/>
        <color theme="1"/>
        <rFont val="Calibri"/>
        <family val="2"/>
        <scheme val="minor"/>
      </rPr>
      <t xml:space="preserve">:  at least 1 of the Protected Management status indicators (%Protect or %ProtRip)
• RoadDens
</t>
    </r>
  </si>
  <si>
    <t xml:space="preserve">This Fish Passage Credit Calculator is supported by a Geographic Information System (GIS) interface and User Guide describing how to use the interface to input information into this spreadsheet and calculate credits.  </t>
  </si>
  <si>
    <t>FISH PASSAGE CREDIT CALCULATOR</t>
  </si>
  <si>
    <t>Version 1.1</t>
  </si>
  <si>
    <t>February 2015</t>
  </si>
  <si>
    <t/>
  </si>
  <si>
    <t>Shonene</t>
  </si>
  <si>
    <t>x</t>
  </si>
  <si>
    <t>ODFW Barrier database indicates passage status as 'UnkAnad'</t>
  </si>
  <si>
    <t>ODFW barrier ID 7256.   ODFW barrier database shows 'blocked' barrier approx 802' upstream.</t>
  </si>
  <si>
    <t>Hwy 101  MP 57.2 Miami tributary, Electric Creek</t>
  </si>
  <si>
    <t>Hwy 101, Electric creek, tributary of Miami River.  ODFW barrier database (ID 7256) comment: 'Upstream end of culvert has an impassable, debis filled chainlink fence across it.  The downstream end appears level, but water can be heard falling inside it.  Slope of culvert couldn't be determined.</t>
  </si>
  <si>
    <t>Site and portion of upstream reach is on private land.  Approximately upper 1/2 of reach between culvert and upstream blocked barrier is on state land</t>
  </si>
  <si>
    <t>Other species:  * Cutthroat present (?)</t>
  </si>
  <si>
    <t>C: &gt;2.4 mi/mi2</t>
  </si>
  <si>
    <t>DS, BW</t>
  </si>
  <si>
    <t>Clearcut on left bank (looking upstream) causing massive landslide</t>
  </si>
  <si>
    <t>Cutthroat</t>
  </si>
  <si>
    <t>No aquatic inventory habitat data available.  Habitat data and rating results are based on field survey. Habitat miles are based on GIS measure.
* Using Steelhead habitat quality ratings as a surrogate for Cutthroat habitat quality.</t>
  </si>
  <si>
    <t>CT_SE</t>
  </si>
  <si>
    <t>Coastl Cutthroat, spawning and emergence</t>
  </si>
  <si>
    <t>CT_S0</t>
  </si>
  <si>
    <t>Coast Cutthroat, summer rearing 0+</t>
  </si>
  <si>
    <t>CT_W0</t>
  </si>
  <si>
    <t>Coast Cutthroat, winter rearing 0+</t>
  </si>
  <si>
    <t>CT_S1</t>
  </si>
  <si>
    <t>Coast Cutthroat, summer rearing 1+</t>
  </si>
  <si>
    <t>CT_WO</t>
  </si>
  <si>
    <t>Cutthroat Trout</t>
  </si>
  <si>
    <t>CT_S*</t>
  </si>
  <si>
    <t>Miles,
 Ratio &gt; 2.2</t>
  </si>
  <si>
    <t>% of miles with entrenchment ratio &gt; 2.2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</si>
</sst>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00"/>
    <numFmt numFmtId="167" formatCode="_(* #,##0_);_(* \(#,##0\);_(* &quot;-&quot;??_);_(@_)"/>
    <numFmt numFmtId="168" formatCode="0.000000"/>
  </numFmts>
  <fonts count="48" x14ac:knownFonts="1">
    <font>
      <sz val="11"/>
      <color theme="1"/>
      <name val="Calibri"/>
      <family val="2"/>
      <scheme val="minor"/>
    </font>
    <font>
      <b/>
      <sz val="14"/>
      <color theme="1"/>
      <name val="Arial"/>
      <family val="2"/>
    </font>
    <font>
      <sz val="9"/>
      <color indexed="81"/>
      <name val="Tahoma"/>
      <family val="2"/>
    </font>
    <font>
      <b/>
      <sz val="9"/>
      <color indexed="81"/>
      <name val="Tahoma"/>
      <family val="2"/>
    </font>
    <font>
      <b/>
      <sz val="11"/>
      <color theme="1"/>
      <name val="Calibri"/>
      <family val="2"/>
      <scheme val="minor"/>
    </font>
    <font>
      <sz val="9"/>
      <color theme="1"/>
      <name val="Calibri"/>
      <family val="2"/>
      <scheme val="minor"/>
    </font>
    <font>
      <sz val="10"/>
      <color theme="1"/>
      <name val="Calibri"/>
      <family val="2"/>
      <scheme val="minor"/>
    </font>
    <font>
      <b/>
      <sz val="12"/>
      <color theme="1"/>
      <name val="Calibri"/>
      <family val="2"/>
      <scheme val="minor"/>
    </font>
    <font>
      <sz val="10"/>
      <color rgb="FFFF0000"/>
      <name val="Calibri"/>
      <family val="2"/>
      <scheme val="minor"/>
    </font>
    <font>
      <u/>
      <sz val="11"/>
      <color theme="10"/>
      <name val="Calibri"/>
      <family val="2"/>
      <scheme val="minor"/>
    </font>
    <font>
      <b/>
      <sz val="10"/>
      <color rgb="FFFF0000"/>
      <name val="Calibri"/>
      <family val="2"/>
      <scheme val="minor"/>
    </font>
    <font>
      <sz val="11"/>
      <name val="Calibri"/>
      <family val="2"/>
      <scheme val="minor"/>
    </font>
    <font>
      <b/>
      <sz val="10"/>
      <color theme="1"/>
      <name val="Calibri"/>
      <family val="2"/>
      <scheme val="minor"/>
    </font>
    <font>
      <b/>
      <sz val="10"/>
      <name val="Arial"/>
      <family val="2"/>
    </font>
    <font>
      <sz val="10"/>
      <name val="Calibri"/>
      <family val="2"/>
      <scheme val="minor"/>
    </font>
    <font>
      <b/>
      <sz val="14"/>
      <name val="Arial"/>
      <family val="2"/>
    </font>
    <font>
      <sz val="12"/>
      <name val="Arial"/>
      <family val="2"/>
    </font>
    <font>
      <sz val="12"/>
      <color rgb="FF000000"/>
      <name val="Arial"/>
      <family val="2"/>
    </font>
    <font>
      <i/>
      <sz val="11"/>
      <color theme="1"/>
      <name val="Calibri"/>
      <family val="2"/>
      <scheme val="minor"/>
    </font>
    <font>
      <b/>
      <sz val="16"/>
      <color theme="1"/>
      <name val="Calibri"/>
      <family val="2"/>
      <scheme val="minor"/>
    </font>
    <font>
      <sz val="11"/>
      <color theme="1"/>
      <name val="Calibri"/>
      <family val="2"/>
      <scheme val="minor"/>
    </font>
    <font>
      <b/>
      <sz val="10"/>
      <name val="Calibri"/>
      <family val="2"/>
      <scheme val="minor"/>
    </font>
    <font>
      <b/>
      <u/>
      <sz val="10"/>
      <color indexed="8"/>
      <name val="Calibri"/>
      <family val="2"/>
      <scheme val="minor"/>
    </font>
    <font>
      <b/>
      <sz val="10"/>
      <color theme="1"/>
      <name val="Arial"/>
      <family val="2"/>
    </font>
    <font>
      <b/>
      <u/>
      <sz val="10"/>
      <color rgb="FFFF0000"/>
      <name val="Calibri"/>
      <family val="2"/>
      <scheme val="minor"/>
    </font>
    <font>
      <b/>
      <sz val="12"/>
      <name val="Calibri"/>
      <family val="2"/>
      <scheme val="minor"/>
    </font>
    <font>
      <i/>
      <sz val="10"/>
      <color theme="1"/>
      <name val="Calibri"/>
      <family val="2"/>
      <scheme val="minor"/>
    </font>
    <font>
      <b/>
      <sz val="14"/>
      <color indexed="8"/>
      <name val="Calibri"/>
      <family val="2"/>
      <scheme val="minor"/>
    </font>
    <font>
      <sz val="14"/>
      <color theme="1"/>
      <name val="Calibri"/>
      <family val="2"/>
      <scheme val="minor"/>
    </font>
    <font>
      <b/>
      <sz val="14"/>
      <color theme="1"/>
      <name val="Calibri"/>
      <family val="2"/>
      <scheme val="minor"/>
    </font>
    <font>
      <b/>
      <sz val="12"/>
      <color indexed="8"/>
      <name val="Calibri"/>
      <family val="2"/>
      <scheme val="minor"/>
    </font>
    <font>
      <sz val="12"/>
      <color theme="1"/>
      <name val="Calibri"/>
      <family val="2"/>
      <scheme val="minor"/>
    </font>
    <font>
      <i/>
      <sz val="12"/>
      <color theme="1"/>
      <name val="Calibri"/>
      <family val="2"/>
      <scheme val="minor"/>
    </font>
    <font>
      <sz val="12"/>
      <color indexed="8"/>
      <name val="Calibri"/>
      <family val="2"/>
      <scheme val="minor"/>
    </font>
    <font>
      <sz val="12"/>
      <name val="Calibri"/>
      <family val="2"/>
      <scheme val="minor"/>
    </font>
    <font>
      <sz val="12"/>
      <color rgb="FF000000"/>
      <name val="Calibri"/>
      <family val="2"/>
      <scheme val="minor"/>
    </font>
    <font>
      <b/>
      <u/>
      <sz val="12"/>
      <name val="Calibri"/>
      <family val="2"/>
      <scheme val="minor"/>
    </font>
    <font>
      <b/>
      <u/>
      <sz val="12"/>
      <color indexed="8"/>
      <name val="Calibri"/>
      <family val="2"/>
      <scheme val="minor"/>
    </font>
    <font>
      <b/>
      <i/>
      <sz val="12"/>
      <color indexed="8"/>
      <name val="Calibri"/>
      <family val="2"/>
      <scheme val="minor"/>
    </font>
    <font>
      <b/>
      <sz val="12"/>
      <color rgb="FFFF0000"/>
      <name val="Calibri"/>
      <family val="2"/>
      <scheme val="minor"/>
    </font>
    <font>
      <b/>
      <u/>
      <vertAlign val="superscript"/>
      <sz val="12"/>
      <color indexed="8"/>
      <name val="Calibri"/>
      <family val="2"/>
      <scheme val="minor"/>
    </font>
    <font>
      <vertAlign val="superscript"/>
      <sz val="12"/>
      <color theme="1"/>
      <name val="Calibri"/>
      <family val="2"/>
      <scheme val="minor"/>
    </font>
    <font>
      <i/>
      <sz val="12"/>
      <color indexed="8"/>
      <name val="Calibri"/>
      <family val="2"/>
      <scheme val="minor"/>
    </font>
    <font>
      <b/>
      <i/>
      <u/>
      <sz val="12"/>
      <color indexed="8"/>
      <name val="Calibri"/>
      <family val="2"/>
      <scheme val="minor"/>
    </font>
    <font>
      <sz val="12"/>
      <color rgb="FFFF0000"/>
      <name val="Calibri"/>
      <family val="2"/>
      <scheme val="minor"/>
    </font>
    <font>
      <vertAlign val="superscript"/>
      <sz val="12"/>
      <color indexed="8"/>
      <name val="Calibri"/>
      <family val="2"/>
      <scheme val="minor"/>
    </font>
    <font>
      <b/>
      <vertAlign val="superscript"/>
      <sz val="12"/>
      <color theme="1"/>
      <name val="Calibri"/>
      <family val="2"/>
      <scheme val="minor"/>
    </font>
    <font>
      <sz val="11"/>
      <color rgb="FF000000"/>
      <name val="Arial"/>
      <family val="2"/>
    </font>
  </fonts>
  <fills count="2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indexed="9"/>
        <bgColor indexed="64"/>
      </patternFill>
    </fill>
    <fill>
      <patternFill patternType="solid">
        <fgColor theme="0"/>
        <bgColor indexed="64"/>
      </patternFill>
    </fill>
    <fill>
      <patternFill patternType="solid">
        <fgColor theme="6"/>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24994659260841701"/>
        <bgColor indexed="64"/>
      </patternFill>
    </fill>
    <fill>
      <patternFill patternType="solid">
        <fgColor theme="8" tint="0.39994506668294322"/>
        <bgColor indexed="64"/>
      </patternFill>
    </fill>
    <fill>
      <patternFill patternType="solid">
        <fgColor rgb="FFFF0000"/>
        <bgColor indexed="64"/>
      </patternFill>
    </fill>
    <fill>
      <patternFill patternType="solid">
        <fgColor rgb="FF9BBB59"/>
        <bgColor indexed="64"/>
      </patternFill>
    </fill>
    <fill>
      <patternFill patternType="solid">
        <fgColor rgb="FFFFFF00"/>
        <bgColor indexed="64"/>
      </patternFill>
    </fill>
  </fills>
  <borders count="73">
    <border>
      <left/>
      <right/>
      <top/>
      <bottom/>
      <diagonal/>
    </border>
    <border>
      <left style="thin">
        <color auto="1"/>
      </left>
      <right/>
      <top style="medium">
        <color auto="1"/>
      </top>
      <bottom/>
      <diagonal/>
    </border>
    <border>
      <left/>
      <right/>
      <top style="medium">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auto="1"/>
      </right>
      <top style="medium">
        <color auto="1"/>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9" fillId="0" borderId="0" applyNumberFormat="0" applyFill="0" applyBorder="0" applyAlignment="0" applyProtection="0"/>
    <xf numFmtId="43" fontId="20" fillId="0" borderId="0" applyFont="0" applyFill="0" applyBorder="0" applyAlignment="0" applyProtection="0"/>
    <xf numFmtId="9" fontId="20" fillId="0" borderId="0" applyFont="0" applyFill="0" applyBorder="0" applyAlignment="0" applyProtection="0"/>
  </cellStyleXfs>
  <cellXfs count="591">
    <xf numFmtId="0" fontId="0" fillId="0" borderId="0" xfId="0"/>
    <xf numFmtId="0" fontId="0" fillId="0" borderId="0" xfId="0" applyAlignment="1">
      <alignment wrapText="1"/>
    </xf>
    <xf numFmtId="0" fontId="5" fillId="0" borderId="0" xfId="0" applyFont="1" applyAlignment="1">
      <alignment vertical="center" wrapText="1"/>
    </xf>
    <xf numFmtId="14" fontId="0" fillId="0" borderId="0" xfId="0" applyNumberFormat="1" applyFont="1" applyAlignment="1">
      <alignment horizontal="center" vertical="center" wrapText="1"/>
    </xf>
    <xf numFmtId="0" fontId="4" fillId="0" borderId="0" xfId="0" applyFont="1"/>
    <xf numFmtId="0" fontId="9" fillId="0" borderId="0" xfId="1"/>
    <xf numFmtId="0" fontId="9" fillId="0" borderId="0" xfId="1" applyAlignment="1">
      <alignment vertical="center"/>
    </xf>
    <xf numFmtId="0" fontId="11" fillId="0" borderId="0" xfId="0" applyFont="1" applyAlignment="1">
      <alignment horizontal="center" vertical="center"/>
    </xf>
    <xf numFmtId="0" fontId="17" fillId="0" borderId="0" xfId="0" applyFont="1" applyAlignment="1">
      <alignment horizontal="left" vertical="center" wrapText="1" readingOrder="1"/>
    </xf>
    <xf numFmtId="0" fontId="0" fillId="0" borderId="0" xfId="0" applyAlignment="1">
      <alignment horizontal="right"/>
    </xf>
    <xf numFmtId="0" fontId="0" fillId="0" borderId="0" xfId="0" applyFill="1" applyAlignment="1">
      <alignment horizontal="right"/>
    </xf>
    <xf numFmtId="0" fontId="0" fillId="0" borderId="0" xfId="0" applyFill="1" applyAlignment="1">
      <alignment horizontal="center"/>
    </xf>
    <xf numFmtId="0" fontId="0" fillId="0" borderId="0" xfId="0" applyFill="1" applyBorder="1" applyAlignment="1">
      <alignment horizontal="right"/>
    </xf>
    <xf numFmtId="0" fontId="0" fillId="0" borderId="0" xfId="0" applyFill="1" applyBorder="1" applyAlignment="1">
      <alignment horizontal="center"/>
    </xf>
    <xf numFmtId="2" fontId="0" fillId="0" borderId="0" xfId="0" applyNumberFormat="1" applyFill="1" applyBorder="1" applyAlignment="1">
      <alignment horizontal="center"/>
    </xf>
    <xf numFmtId="0" fontId="1" fillId="0" borderId="0" xfId="0" applyFont="1" applyBorder="1" applyAlignment="1">
      <alignment horizontal="left" vertical="center" wrapText="1"/>
    </xf>
    <xf numFmtId="0" fontId="0" fillId="0" borderId="0" xfId="0" applyAlignment="1">
      <alignment horizontal="left" wrapText="1"/>
    </xf>
    <xf numFmtId="0" fontId="0" fillId="0" borderId="0" xfId="0"/>
    <xf numFmtId="0" fontId="5" fillId="0" borderId="0" xfId="0" applyFont="1" applyAlignment="1">
      <alignment vertical="center" wrapText="1"/>
    </xf>
    <xf numFmtId="0" fontId="5" fillId="0"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Fill="1" applyAlignment="1">
      <alignment horizontal="center" vertical="center" wrapText="1"/>
    </xf>
    <xf numFmtId="0" fontId="6" fillId="0" borderId="0" xfId="0" applyFont="1" applyBorder="1" applyAlignment="1">
      <alignment vertical="center" wrapText="1"/>
    </xf>
    <xf numFmtId="14" fontId="0"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4" fillId="0" borderId="0" xfId="0" applyFont="1"/>
    <xf numFmtId="0" fontId="8" fillId="0" borderId="0" xfId="0" applyFont="1" applyFill="1" applyBorder="1" applyAlignment="1" applyProtection="1">
      <alignment horizontal="right" vertical="center" wrapText="1"/>
    </xf>
    <xf numFmtId="0" fontId="8" fillId="0" borderId="9" xfId="0" applyFont="1" applyFill="1" applyBorder="1" applyAlignment="1">
      <alignment vertical="center" wrapText="1"/>
    </xf>
    <xf numFmtId="0" fontId="6" fillId="0" borderId="0" xfId="0" applyFont="1" applyFill="1" applyBorder="1" applyAlignment="1">
      <alignment vertical="center" wrapText="1"/>
    </xf>
    <xf numFmtId="0" fontId="14" fillId="0" borderId="0" xfId="0" applyFont="1" applyBorder="1" applyAlignment="1">
      <alignment horizontal="left" vertical="center" wrapText="1"/>
    </xf>
    <xf numFmtId="0" fontId="14" fillId="2" borderId="8"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0" fillId="0" borderId="0" xfId="0" applyBorder="1"/>
    <xf numFmtId="0" fontId="6" fillId="0" borderId="0" xfId="0" applyFont="1" applyBorder="1" applyAlignment="1">
      <alignment horizontal="center" vertical="center" wrapText="1"/>
    </xf>
    <xf numFmtId="0" fontId="14" fillId="0" borderId="0" xfId="0" applyFont="1" applyBorder="1" applyAlignment="1">
      <alignment horizontal="right" vertical="center" wrapText="1"/>
    </xf>
    <xf numFmtId="0" fontId="0" fillId="0" borderId="0" xfId="0" applyFill="1" applyBorder="1"/>
    <xf numFmtId="0" fontId="22" fillId="0" borderId="0" xfId="0" applyFont="1" applyFill="1" applyBorder="1" applyAlignment="1" applyProtection="1">
      <alignment horizontal="left" vertical="center" wrapText="1"/>
    </xf>
    <xf numFmtId="0" fontId="0" fillId="0" borderId="0" xfId="0" applyFont="1"/>
    <xf numFmtId="0" fontId="6" fillId="0" borderId="0" xfId="0" applyFont="1" applyFill="1" applyAlignment="1">
      <alignment vertical="center" wrapText="1"/>
    </xf>
    <xf numFmtId="0" fontId="21" fillId="0" borderId="0" xfId="0" applyFont="1" applyBorder="1" applyAlignment="1">
      <alignment horizontal="right" vertical="center" wrapText="1"/>
    </xf>
    <xf numFmtId="0" fontId="12" fillId="0" borderId="4" xfId="0" applyFont="1" applyBorder="1" applyAlignment="1">
      <alignment horizontal="left" vertical="center" wrapText="1"/>
    </xf>
    <xf numFmtId="0" fontId="12" fillId="0" borderId="0" xfId="0" applyFont="1" applyAlignment="1">
      <alignment vertical="center"/>
    </xf>
    <xf numFmtId="0" fontId="6" fillId="0" borderId="0" xfId="0" applyFont="1"/>
    <xf numFmtId="14" fontId="6" fillId="0" borderId="0" xfId="0" applyNumberFormat="1" applyFont="1" applyBorder="1" applyAlignment="1">
      <alignment horizontal="center" vertical="center" wrapText="1"/>
    </xf>
    <xf numFmtId="0" fontId="23" fillId="0" borderId="0" xfId="0" applyFont="1" applyBorder="1" applyAlignment="1">
      <alignment horizontal="left" vertical="center" wrapText="1"/>
    </xf>
    <xf numFmtId="0" fontId="6" fillId="0" borderId="0" xfId="0" applyFont="1" applyBorder="1"/>
    <xf numFmtId="0" fontId="6" fillId="6" borderId="0" xfId="0" applyFont="1" applyFill="1"/>
    <xf numFmtId="0" fontId="6" fillId="0" borderId="0" xfId="0" applyFont="1" applyBorder="1" applyAlignment="1"/>
    <xf numFmtId="0" fontId="6" fillId="0" borderId="10" xfId="0" applyFont="1" applyBorder="1" applyAlignment="1"/>
    <xf numFmtId="0" fontId="12"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4" fillId="0" borderId="8" xfId="0" applyFont="1" applyFill="1" applyBorder="1" applyAlignment="1">
      <alignment horizontal="center" vertical="center" textRotation="90" wrapText="1"/>
    </xf>
    <xf numFmtId="164" fontId="14" fillId="4" borderId="8" xfId="0" applyNumberFormat="1" applyFont="1" applyFill="1" applyBorder="1" applyAlignment="1">
      <alignment horizontal="center" vertical="center" wrapText="1"/>
    </xf>
    <xf numFmtId="0" fontId="8" fillId="3" borderId="9" xfId="0" applyFont="1" applyFill="1" applyBorder="1" applyAlignment="1">
      <alignment horizontal="right" vertical="center" wrapText="1"/>
    </xf>
    <xf numFmtId="0" fontId="6" fillId="0" borderId="0" xfId="0" applyFont="1" applyFill="1"/>
    <xf numFmtId="0" fontId="6" fillId="0" borderId="0" xfId="0" applyFont="1" applyFill="1" applyBorder="1" applyAlignment="1">
      <alignment horizontal="center" vertical="top" wrapText="1"/>
    </xf>
    <xf numFmtId="0" fontId="0" fillId="0" borderId="0" xfId="0" applyBorder="1" applyAlignment="1">
      <alignment horizontal="center" vertical="top" wrapText="1"/>
    </xf>
    <xf numFmtId="0" fontId="0" fillId="0" borderId="0" xfId="0" applyFont="1" applyAlignment="1">
      <alignment vertical="top"/>
    </xf>
    <xf numFmtId="0" fontId="0" fillId="0" borderId="0" xfId="0" applyFill="1"/>
    <xf numFmtId="0" fontId="0" fillId="0" borderId="0" xfId="0" applyFill="1" applyBorder="1" applyAlignment="1">
      <alignment horizontal="center" vertical="top" wrapText="1"/>
    </xf>
    <xf numFmtId="0" fontId="1" fillId="0" borderId="0" xfId="0" applyFont="1" applyBorder="1" applyAlignment="1">
      <alignment vertical="top"/>
    </xf>
    <xf numFmtId="0" fontId="1" fillId="0" borderId="0" xfId="0" applyFont="1" applyBorder="1" applyAlignment="1">
      <alignment vertical="center"/>
    </xf>
    <xf numFmtId="0" fontId="5" fillId="0" borderId="0" xfId="0" applyFont="1" applyFill="1" applyBorder="1" applyAlignment="1">
      <alignment vertical="center" wrapText="1"/>
    </xf>
    <xf numFmtId="0" fontId="0" fillId="0" borderId="0" xfId="0" applyFont="1" applyFill="1" applyBorder="1" applyAlignment="1" applyProtection="1">
      <alignment horizontal="right" vertical="top" wrapText="1"/>
    </xf>
    <xf numFmtId="0" fontId="0" fillId="0" borderId="0" xfId="0" applyFont="1" applyFill="1" applyBorder="1" applyAlignment="1" applyProtection="1">
      <alignment horizontal="center" vertical="top" wrapText="1"/>
    </xf>
    <xf numFmtId="0" fontId="23" fillId="0" borderId="0" xfId="0" applyFont="1" applyBorder="1" applyAlignment="1">
      <alignment vertical="center"/>
    </xf>
    <xf numFmtId="0" fontId="12" fillId="0" borderId="0" xfId="0" applyFont="1" applyBorder="1" applyAlignment="1">
      <alignment vertical="center"/>
    </xf>
    <xf numFmtId="0" fontId="21" fillId="0" borderId="0" xfId="0" applyFont="1" applyBorder="1" applyAlignment="1">
      <alignment horizontal="right" vertical="center"/>
    </xf>
    <xf numFmtId="164" fontId="6" fillId="0" borderId="0" xfId="0" applyNumberFormat="1" applyFont="1" applyFill="1" applyBorder="1" applyAlignment="1">
      <alignment horizontal="center" vertical="top" wrapText="1"/>
    </xf>
    <xf numFmtId="0" fontId="26" fillId="0" borderId="0" xfId="0" applyFont="1"/>
    <xf numFmtId="1" fontId="26" fillId="0" borderId="0" xfId="0" applyNumberFormat="1" applyFont="1"/>
    <xf numFmtId="3" fontId="0" fillId="0" borderId="0" xfId="0" applyNumberFormat="1"/>
    <xf numFmtId="0" fontId="0" fillId="0" borderId="0" xfId="0" applyFill="1" applyBorder="1" applyAlignment="1">
      <alignment horizontal="center" vertical="center"/>
    </xf>
    <xf numFmtId="0" fontId="0" fillId="0" borderId="0" xfId="0" applyAlignment="1">
      <alignment vertical="center"/>
    </xf>
    <xf numFmtId="0" fontId="0" fillId="0" borderId="0" xfId="0" applyFill="1" applyAlignment="1">
      <alignment vertical="center"/>
    </xf>
    <xf numFmtId="0" fontId="28" fillId="0" borderId="0" xfId="0" applyFont="1" applyProtection="1"/>
    <xf numFmtId="0" fontId="28" fillId="0" borderId="0" xfId="0" applyFont="1"/>
    <xf numFmtId="0" fontId="19" fillId="0" borderId="0" xfId="0" applyFont="1"/>
    <xf numFmtId="0" fontId="29" fillId="0" borderId="0" xfId="0" applyFont="1"/>
    <xf numFmtId="0" fontId="6"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12" fillId="0" borderId="0" xfId="0" applyFont="1" applyFill="1" applyBorder="1" applyAlignment="1">
      <alignment horizontal="center" vertical="top" wrapText="1"/>
    </xf>
    <xf numFmtId="0" fontId="0" fillId="0" borderId="0" xfId="0" applyAlignment="1">
      <alignment wrapText="1"/>
    </xf>
    <xf numFmtId="0" fontId="0" fillId="0" borderId="0" xfId="0" applyFont="1" applyBorder="1"/>
    <xf numFmtId="0" fontId="4" fillId="0" borderId="20" xfId="0" applyFont="1" applyBorder="1" applyAlignment="1">
      <alignment horizontal="center" vertical="center"/>
    </xf>
    <xf numFmtId="0" fontId="10" fillId="0" borderId="0" xfId="0" applyFont="1" applyFill="1" applyBorder="1" applyAlignment="1" applyProtection="1">
      <alignment horizontal="left" vertical="center" wrapText="1"/>
    </xf>
    <xf numFmtId="0" fontId="4" fillId="0" borderId="20"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25"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left"/>
    </xf>
    <xf numFmtId="0" fontId="30" fillId="0" borderId="0" xfId="0" applyFont="1" applyFill="1" applyBorder="1" applyAlignment="1" applyProtection="1">
      <alignment horizontal="right" vertical="center" wrapText="1"/>
    </xf>
    <xf numFmtId="0" fontId="31" fillId="0" borderId="0" xfId="0" applyFont="1"/>
    <xf numFmtId="0" fontId="31" fillId="0" borderId="0"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center" vertical="top"/>
    </xf>
    <xf numFmtId="0" fontId="32" fillId="0" borderId="0" xfId="0" applyFont="1" applyFill="1" applyAlignment="1" applyProtection="1">
      <alignment horizontal="center" vertical="top"/>
    </xf>
    <xf numFmtId="0" fontId="31" fillId="0" borderId="0" xfId="0" applyFont="1" applyBorder="1"/>
    <xf numFmtId="0" fontId="31" fillId="0" borderId="0" xfId="0" applyFont="1" applyAlignment="1">
      <alignment horizontal="center"/>
    </xf>
    <xf numFmtId="0" fontId="7" fillId="0" borderId="22"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2" xfId="0" applyFont="1" applyFill="1" applyBorder="1" applyAlignment="1">
      <alignment horizontal="center" vertical="center" wrapText="1"/>
    </xf>
    <xf numFmtId="0" fontId="31" fillId="0" borderId="20" xfId="0" applyFont="1" applyBorder="1" applyAlignment="1">
      <alignment horizontal="center"/>
    </xf>
    <xf numFmtId="0" fontId="31" fillId="0" borderId="0" xfId="0" applyFont="1" applyFill="1" applyBorder="1" applyAlignment="1" applyProtection="1">
      <alignment vertical="top"/>
      <protection locked="0"/>
    </xf>
    <xf numFmtId="0" fontId="31" fillId="0" borderId="0" xfId="0" applyFont="1" applyFill="1" applyBorder="1" applyAlignment="1"/>
    <xf numFmtId="0" fontId="7" fillId="7" borderId="8" xfId="0" applyFont="1" applyFill="1" applyBorder="1" applyAlignment="1">
      <alignment horizontal="center" vertical="center" wrapText="1"/>
    </xf>
    <xf numFmtId="0" fontId="31" fillId="0" borderId="0" xfId="0" applyFont="1" applyAlignment="1">
      <alignment vertical="center" wrapText="1"/>
    </xf>
    <xf numFmtId="0" fontId="31" fillId="0" borderId="0" xfId="0" applyFont="1" applyFill="1" applyBorder="1" applyAlignment="1">
      <alignment horizontal="center" vertical="center" wrapText="1"/>
    </xf>
    <xf numFmtId="0" fontId="31" fillId="0" borderId="0" xfId="0" applyFont="1" applyBorder="1" applyAlignment="1">
      <alignment vertical="center" wrapText="1"/>
    </xf>
    <xf numFmtId="0" fontId="31" fillId="0" borderId="0" xfId="0" applyFont="1" applyBorder="1" applyAlignment="1">
      <alignment horizontal="center" vertical="center" wrapText="1"/>
    </xf>
    <xf numFmtId="0" fontId="31" fillId="0" borderId="8"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33" fillId="0" borderId="8" xfId="0" applyFont="1" applyFill="1" applyBorder="1" applyAlignment="1" applyProtection="1">
      <alignment horizontal="center" vertical="center" wrapText="1"/>
    </xf>
    <xf numFmtId="0" fontId="7" fillId="0" borderId="0" xfId="0" applyFont="1" applyFill="1" applyBorder="1" applyAlignment="1">
      <alignment horizontal="center" vertical="center" wrapText="1"/>
    </xf>
    <xf numFmtId="164" fontId="34" fillId="2" borderId="8" xfId="0" applyNumberFormat="1" applyFont="1" applyFill="1" applyBorder="1" applyAlignment="1">
      <alignment horizontal="center" vertical="center" wrapText="1"/>
    </xf>
    <xf numFmtId="0" fontId="37" fillId="0" borderId="0" xfId="0" applyFont="1" applyFill="1" applyBorder="1" applyAlignment="1" applyProtection="1">
      <alignment horizontal="left" vertical="center" wrapText="1"/>
    </xf>
    <xf numFmtId="0" fontId="34" fillId="0" borderId="0"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8" fillId="0" borderId="0" xfId="0" applyFont="1" applyFill="1" applyBorder="1" applyAlignment="1" applyProtection="1">
      <alignment horizontal="left" vertical="center" wrapText="1"/>
    </xf>
    <xf numFmtId="0" fontId="37" fillId="0" borderId="4" xfId="0" applyFont="1" applyFill="1" applyBorder="1" applyAlignment="1" applyProtection="1">
      <alignment horizontal="left" vertical="center" wrapText="1"/>
    </xf>
    <xf numFmtId="0" fontId="31" fillId="0" borderId="12" xfId="0" applyFont="1" applyFill="1" applyBorder="1" applyAlignment="1">
      <alignment horizontal="center" vertical="center" wrapText="1"/>
    </xf>
    <xf numFmtId="0" fontId="31" fillId="0" borderId="8" xfId="0" applyFont="1" applyFill="1" applyBorder="1" applyAlignment="1">
      <alignment horizontal="center" vertical="top" wrapText="1"/>
    </xf>
    <xf numFmtId="166" fontId="31" fillId="2" borderId="8" xfId="0" applyNumberFormat="1" applyFont="1" applyFill="1" applyBorder="1" applyAlignment="1">
      <alignment horizontal="center" vertical="top" wrapText="1"/>
    </xf>
    <xf numFmtId="0" fontId="31" fillId="2" borderId="20" xfId="0" applyFont="1" applyFill="1" applyBorder="1" applyAlignment="1">
      <alignment horizontal="center" vertical="center" wrapText="1"/>
    </xf>
    <xf numFmtId="0" fontId="31" fillId="2" borderId="20" xfId="0" applyFont="1" applyFill="1" applyBorder="1" applyAlignment="1">
      <alignment horizontal="center" vertical="top" wrapText="1"/>
    </xf>
    <xf numFmtId="0" fontId="31" fillId="2" borderId="8" xfId="0" applyFont="1" applyFill="1" applyBorder="1" applyAlignment="1">
      <alignment horizontal="center" vertical="top" wrapText="1"/>
    </xf>
    <xf numFmtId="0" fontId="31" fillId="0" borderId="8" xfId="0" applyFont="1" applyFill="1" applyBorder="1" applyAlignment="1">
      <alignment vertical="center" wrapText="1"/>
    </xf>
    <xf numFmtId="0" fontId="31" fillId="0" borderId="0" xfId="0" applyFont="1" applyFill="1" applyAlignment="1">
      <alignment horizontal="center" vertical="center" wrapText="1"/>
    </xf>
    <xf numFmtId="0" fontId="31" fillId="0" borderId="0" xfId="0" applyFont="1" applyAlignment="1">
      <alignment horizontal="center" vertical="center" wrapText="1"/>
    </xf>
    <xf numFmtId="0" fontId="33" fillId="0" borderId="0" xfId="0" applyFont="1" applyFill="1" applyBorder="1" applyAlignment="1" applyProtection="1">
      <alignment horizontal="left" vertical="center" wrapText="1"/>
    </xf>
    <xf numFmtId="0" fontId="7" fillId="0" borderId="8" xfId="0" applyFont="1" applyFill="1" applyBorder="1" applyAlignment="1">
      <alignment horizontal="center" vertical="center" wrapText="1"/>
    </xf>
    <xf numFmtId="164" fontId="31" fillId="3" borderId="8" xfId="0" applyNumberFormat="1" applyFont="1" applyFill="1" applyBorder="1" applyAlignment="1" applyProtection="1">
      <alignment horizontal="center" vertical="center" wrapText="1"/>
    </xf>
    <xf numFmtId="0" fontId="31" fillId="0" borderId="8" xfId="0" applyFont="1" applyBorder="1" applyAlignment="1">
      <alignment horizontal="center" vertical="center" wrapText="1"/>
    </xf>
    <xf numFmtId="164" fontId="34" fillId="3" borderId="8" xfId="0" applyNumberFormat="1" applyFont="1" applyFill="1" applyBorder="1" applyAlignment="1">
      <alignment horizontal="center" vertical="center" wrapText="1"/>
    </xf>
    <xf numFmtId="0" fontId="34" fillId="3" borderId="13" xfId="0" applyFont="1" applyFill="1" applyBorder="1" applyAlignment="1">
      <alignment horizontal="right" vertical="center" wrapText="1"/>
    </xf>
    <xf numFmtId="9" fontId="34" fillId="3" borderId="20" xfId="3" applyFont="1" applyFill="1" applyBorder="1" applyAlignment="1">
      <alignment horizontal="center" vertical="center" wrapText="1"/>
    </xf>
    <xf numFmtId="0" fontId="31" fillId="0" borderId="12" xfId="0" applyFont="1" applyFill="1" applyBorder="1" applyAlignment="1">
      <alignment vertical="center" wrapText="1"/>
    </xf>
    <xf numFmtId="0" fontId="30" fillId="0" borderId="0" xfId="0" applyFont="1" applyFill="1" applyBorder="1" applyAlignment="1" applyProtection="1">
      <alignment horizontal="left" vertical="center" wrapText="1"/>
    </xf>
    <xf numFmtId="0" fontId="30" fillId="0" borderId="0" xfId="0" applyFont="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1" fillId="0" borderId="0" xfId="0" applyFont="1" applyFill="1" applyBorder="1" applyAlignment="1">
      <alignment vertical="center" wrapText="1"/>
    </xf>
    <xf numFmtId="0" fontId="31" fillId="0" borderId="21" xfId="0" applyFont="1" applyFill="1" applyBorder="1" applyAlignment="1">
      <alignment vertical="center" wrapText="1"/>
    </xf>
    <xf numFmtId="0" fontId="31" fillId="0" borderId="0" xfId="0" applyFont="1" applyFill="1" applyBorder="1" applyAlignment="1">
      <alignment vertical="center" wrapText="1"/>
    </xf>
    <xf numFmtId="0" fontId="7" fillId="0" borderId="0" xfId="0" applyFont="1" applyAlignment="1">
      <alignment horizontal="left"/>
    </xf>
    <xf numFmtId="0" fontId="31" fillId="0" borderId="5" xfId="0" applyFont="1" applyFill="1" applyBorder="1" applyAlignment="1">
      <alignment horizontal="center" vertical="center" wrapText="1"/>
    </xf>
    <xf numFmtId="0" fontId="34" fillId="0" borderId="12" xfId="0" applyFont="1" applyFill="1" applyBorder="1" applyAlignment="1" applyProtection="1">
      <alignment horizontal="center" vertical="center" wrapText="1"/>
    </xf>
    <xf numFmtId="0" fontId="34" fillId="2" borderId="20" xfId="0" applyFont="1" applyFill="1" applyBorder="1" applyAlignment="1" applyProtection="1">
      <alignment horizontal="center" vertical="center" wrapText="1"/>
    </xf>
    <xf numFmtId="0" fontId="42" fillId="0" borderId="9" xfId="0" applyFont="1" applyFill="1" applyBorder="1" applyAlignment="1" applyProtection="1">
      <alignment horizontal="left" vertical="center" wrapText="1"/>
    </xf>
    <xf numFmtId="0" fontId="31" fillId="3" borderId="8" xfId="0" applyFont="1" applyFill="1" applyBorder="1" applyAlignment="1">
      <alignment horizontal="right" vertical="center" wrapText="1"/>
    </xf>
    <xf numFmtId="9" fontId="31" fillId="3" borderId="20" xfId="3" applyFont="1" applyFill="1" applyBorder="1" applyAlignment="1">
      <alignment horizontal="center" vertical="center" wrapText="1"/>
    </xf>
    <xf numFmtId="0" fontId="34" fillId="0" borderId="20" xfId="0" applyFont="1" applyFill="1" applyBorder="1" applyAlignment="1" applyProtection="1">
      <alignment horizontal="center" vertical="center" wrapText="1"/>
    </xf>
    <xf numFmtId="0" fontId="31" fillId="2" borderId="20" xfId="0" applyFont="1" applyFill="1" applyBorder="1" applyAlignment="1" applyProtection="1">
      <alignment horizontal="center" vertical="center" wrapText="1"/>
    </xf>
    <xf numFmtId="0" fontId="31" fillId="3" borderId="5" xfId="0" applyFont="1" applyFill="1" applyBorder="1" applyAlignment="1">
      <alignment horizontal="right" vertical="center" wrapText="1"/>
    </xf>
    <xf numFmtId="0" fontId="31" fillId="0" borderId="0" xfId="0" applyFont="1" applyFill="1" applyAlignment="1">
      <alignment vertical="center" wrapText="1"/>
    </xf>
    <xf numFmtId="0" fontId="7" fillId="0" borderId="20" xfId="0" applyFont="1" applyBorder="1" applyAlignment="1">
      <alignment horizontal="center" vertical="center" wrapText="1"/>
    </xf>
    <xf numFmtId="0" fontId="31" fillId="0" borderId="20" xfId="0" applyFont="1" applyBorder="1" applyAlignment="1">
      <alignment horizontal="center" vertical="center" wrapText="1"/>
    </xf>
    <xf numFmtId="0" fontId="31" fillId="2" borderId="8" xfId="0" applyFont="1" applyFill="1" applyBorder="1" applyAlignment="1" applyProtection="1">
      <alignment horizontal="center" vertical="center" wrapText="1"/>
    </xf>
    <xf numFmtId="164" fontId="31" fillId="3" borderId="20" xfId="0" applyNumberFormat="1" applyFont="1" applyFill="1" applyBorder="1" applyAlignment="1">
      <alignment horizontal="center" vertical="center" wrapText="1"/>
    </xf>
    <xf numFmtId="9" fontId="31" fillId="3" borderId="8" xfId="3" applyFont="1" applyFill="1" applyBorder="1" applyAlignment="1">
      <alignment horizontal="center" vertical="center" wrapText="1"/>
    </xf>
    <xf numFmtId="0" fontId="31" fillId="0" borderId="0" xfId="0" applyFont="1" applyFill="1" applyBorder="1" applyAlignment="1">
      <alignment horizontal="center" vertical="top" wrapText="1"/>
    </xf>
    <xf numFmtId="164" fontId="31" fillId="0" borderId="0" xfId="0" applyNumberFormat="1" applyFont="1" applyFill="1" applyBorder="1" applyAlignment="1">
      <alignment horizontal="center" vertical="top" wrapText="1"/>
    </xf>
    <xf numFmtId="0" fontId="31" fillId="0" borderId="13" xfId="0" applyFont="1" applyFill="1" applyBorder="1" applyAlignment="1">
      <alignment vertical="center" wrapText="1"/>
    </xf>
    <xf numFmtId="0" fontId="31" fillId="0" borderId="0" xfId="0" applyFont="1" applyFill="1" applyBorder="1" applyAlignment="1" applyProtection="1">
      <alignment horizontal="center" vertical="center" wrapText="1"/>
    </xf>
    <xf numFmtId="0" fontId="35" fillId="0" borderId="8" xfId="0" applyFont="1" applyFill="1" applyBorder="1" applyAlignment="1">
      <alignment vertical="center" wrapText="1"/>
    </xf>
    <xf numFmtId="0" fontId="31" fillId="0" borderId="0" xfId="0" applyFont="1" applyFill="1" applyAlignment="1">
      <alignment horizontal="center" vertical="center" wrapText="1"/>
    </xf>
    <xf numFmtId="0" fontId="34" fillId="2" borderId="20" xfId="0" applyFont="1" applyFill="1" applyBorder="1" applyAlignment="1">
      <alignment horizontal="center" vertical="center" wrapText="1"/>
    </xf>
    <xf numFmtId="0" fontId="31" fillId="0" borderId="0" xfId="0" applyFont="1" applyFill="1" applyBorder="1" applyAlignment="1" applyProtection="1">
      <alignment horizontal="right" vertical="center" wrapText="1"/>
    </xf>
    <xf numFmtId="0" fontId="31" fillId="3" borderId="13" xfId="0" applyFont="1" applyFill="1" applyBorder="1" applyAlignment="1">
      <alignment horizontal="right" vertical="center" wrapText="1"/>
    </xf>
    <xf numFmtId="0" fontId="44" fillId="0" borderId="0"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3" fillId="0" borderId="8" xfId="0" applyFont="1" applyFill="1" applyBorder="1" applyAlignment="1" applyProtection="1">
      <alignment horizontal="left" vertical="center" wrapText="1"/>
    </xf>
    <xf numFmtId="164" fontId="31" fillId="3" borderId="8" xfId="0" applyNumberFormat="1" applyFont="1" applyFill="1" applyBorder="1" applyAlignment="1">
      <alignment horizontal="center" vertical="top" wrapText="1"/>
    </xf>
    <xf numFmtId="0" fontId="7" fillId="0" borderId="13" xfId="0" applyFont="1" applyFill="1" applyBorder="1" applyAlignment="1">
      <alignment horizontal="center" vertical="center" wrapText="1"/>
    </xf>
    <xf numFmtId="164" fontId="31" fillId="2" borderId="8" xfId="0" applyNumberFormat="1" applyFont="1" applyFill="1" applyBorder="1" applyAlignment="1">
      <alignment horizontal="center" vertical="top" wrapText="1"/>
    </xf>
    <xf numFmtId="0" fontId="31" fillId="0" borderId="0" xfId="0" applyFont="1" applyFill="1" applyBorder="1" applyAlignment="1">
      <alignment horizontal="right" vertical="center" wrapText="1"/>
    </xf>
    <xf numFmtId="9" fontId="31" fillId="0" borderId="0" xfId="3" applyFont="1" applyFill="1" applyBorder="1" applyAlignment="1">
      <alignment horizontal="center" vertical="center" wrapText="1"/>
    </xf>
    <xf numFmtId="2" fontId="31" fillId="3" borderId="8" xfId="0" applyNumberFormat="1" applyFont="1" applyFill="1" applyBorder="1" applyAlignment="1">
      <alignment horizontal="center" vertical="top" wrapText="1"/>
    </xf>
    <xf numFmtId="0" fontId="29" fillId="0" borderId="0" xfId="0" applyFont="1" applyBorder="1" applyAlignment="1">
      <alignment vertical="center"/>
    </xf>
    <xf numFmtId="14" fontId="31" fillId="0" borderId="0" xfId="0" applyNumberFormat="1" applyFont="1" applyBorder="1" applyAlignment="1">
      <alignment horizontal="right" vertical="center"/>
    </xf>
    <xf numFmtId="0" fontId="31" fillId="3" borderId="20" xfId="0" applyFont="1" applyFill="1" applyBorder="1" applyAlignment="1">
      <alignment horizontal="center" vertical="center"/>
    </xf>
    <xf numFmtId="165" fontId="31" fillId="0" borderId="0" xfId="0" applyNumberFormat="1" applyFont="1" applyBorder="1" applyAlignment="1">
      <alignment horizontal="center" vertical="center"/>
    </xf>
    <xf numFmtId="0" fontId="31" fillId="0" borderId="0" xfId="0" applyFont="1" applyBorder="1" applyAlignment="1">
      <alignment horizontal="center" vertical="top" wrapText="1"/>
    </xf>
    <xf numFmtId="9" fontId="31" fillId="3" borderId="20" xfId="0" applyNumberFormat="1" applyFont="1" applyFill="1" applyBorder="1" applyAlignment="1">
      <alignment horizontal="center" vertical="center"/>
    </xf>
    <xf numFmtId="0" fontId="0" fillId="0" borderId="0" xfId="0" applyFill="1" applyBorder="1" applyAlignment="1">
      <alignment vertical="center"/>
    </xf>
    <xf numFmtId="0" fontId="0" fillId="0" borderId="0" xfId="0" applyFont="1" applyFill="1" applyBorder="1" applyAlignment="1">
      <alignment vertical="top" wrapText="1"/>
    </xf>
    <xf numFmtId="0" fontId="5" fillId="0" borderId="0" xfId="0" applyFont="1" applyBorder="1" applyAlignment="1">
      <alignment vertical="center" wrapText="1"/>
    </xf>
    <xf numFmtId="0" fontId="19" fillId="0" borderId="0" xfId="0" applyFont="1" applyBorder="1" applyAlignment="1" applyProtection="1">
      <alignment horizontal="center" vertical="center" wrapText="1"/>
    </xf>
    <xf numFmtId="0" fontId="29" fillId="7" borderId="31" xfId="0" applyFont="1" applyFill="1" applyBorder="1" applyAlignment="1" applyProtection="1">
      <alignment horizontal="center" vertical="center" wrapText="1"/>
    </xf>
    <xf numFmtId="2" fontId="29" fillId="7" borderId="31" xfId="0" applyNumberFormat="1" applyFont="1" applyFill="1" applyBorder="1" applyAlignment="1" applyProtection="1">
      <alignment horizontal="center" vertical="center" wrapText="1"/>
    </xf>
    <xf numFmtId="1" fontId="31" fillId="13" borderId="31" xfId="0" applyNumberFormat="1" applyFont="1" applyFill="1" applyBorder="1" applyAlignment="1" applyProtection="1">
      <alignment horizontal="center" vertical="center" wrapText="1"/>
    </xf>
    <xf numFmtId="0" fontId="31" fillId="12" borderId="31" xfId="0" applyFont="1" applyFill="1" applyBorder="1" applyAlignment="1">
      <alignment horizontal="center"/>
    </xf>
    <xf numFmtId="0" fontId="7" fillId="3" borderId="31" xfId="2" applyNumberFormat="1" applyFont="1" applyFill="1" applyBorder="1" applyAlignment="1" applyProtection="1">
      <alignment horizontal="center" vertical="center"/>
    </xf>
    <xf numFmtId="14" fontId="31" fillId="0" borderId="0" xfId="0" applyNumberFormat="1" applyFont="1" applyBorder="1" applyAlignment="1">
      <alignment vertical="center" wrapText="1"/>
    </xf>
    <xf numFmtId="0" fontId="31" fillId="2" borderId="29" xfId="0" applyFont="1" applyFill="1" applyBorder="1" applyAlignment="1">
      <alignment horizontal="center" vertical="center"/>
    </xf>
    <xf numFmtId="0" fontId="31" fillId="2" borderId="30" xfId="0" applyFont="1" applyFill="1" applyBorder="1" applyAlignment="1">
      <alignment horizontal="center" vertical="center"/>
    </xf>
    <xf numFmtId="0" fontId="34" fillId="2" borderId="29" xfId="0" applyFont="1" applyFill="1" applyBorder="1" applyAlignment="1">
      <alignment horizontal="center" vertical="center"/>
    </xf>
    <xf numFmtId="0" fontId="35" fillId="2" borderId="29" xfId="0" applyFont="1" applyFill="1" applyBorder="1" applyAlignment="1">
      <alignment horizontal="center" vertical="center"/>
    </xf>
    <xf numFmtId="2" fontId="31" fillId="2" borderId="8" xfId="0" applyNumberFormat="1" applyFont="1" applyFill="1" applyBorder="1" applyAlignment="1">
      <alignment horizontal="center" vertical="top" wrapText="1"/>
    </xf>
    <xf numFmtId="0" fontId="7" fillId="0" borderId="0" xfId="0" applyFont="1" applyBorder="1" applyAlignment="1">
      <alignment horizontal="center" wrapText="1"/>
    </xf>
    <xf numFmtId="0" fontId="7" fillId="0" borderId="36" xfId="0" applyFont="1" applyFill="1" applyBorder="1" applyAlignment="1">
      <alignment horizontal="center" vertical="center" wrapText="1"/>
    </xf>
    <xf numFmtId="0" fontId="31" fillId="2" borderId="37" xfId="0" applyFont="1" applyFill="1" applyBorder="1" applyAlignment="1">
      <alignment horizontal="center" vertical="center"/>
    </xf>
    <xf numFmtId="0" fontId="31" fillId="2" borderId="38" xfId="0" applyFont="1" applyFill="1" applyBorder="1" applyAlignment="1">
      <alignment horizontal="center" vertical="center"/>
    </xf>
    <xf numFmtId="0" fontId="31" fillId="0" borderId="0" xfId="0" applyFont="1" applyFill="1" applyBorder="1" applyAlignment="1" applyProtection="1">
      <alignment horizontal="left" vertical="top" wrapText="1"/>
    </xf>
    <xf numFmtId="164" fontId="31" fillId="0" borderId="0" xfId="0" applyNumberFormat="1" applyFont="1" applyFill="1" applyBorder="1" applyAlignment="1">
      <alignment horizontal="center" vertical="center" wrapText="1"/>
    </xf>
    <xf numFmtId="0" fontId="31" fillId="0" borderId="8" xfId="0" applyFont="1" applyBorder="1" applyAlignment="1">
      <alignment horizontal="center" vertical="center" wrapText="1"/>
    </xf>
    <xf numFmtId="0" fontId="34" fillId="0" borderId="38"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0" fillId="0" borderId="0" xfId="0" applyFont="1" applyFill="1" applyBorder="1" applyAlignment="1" applyProtection="1">
      <alignment horizontal="right" vertical="center" wrapText="1"/>
    </xf>
    <xf numFmtId="1" fontId="26" fillId="0" borderId="0" xfId="0" applyNumberFormat="1" applyFont="1" applyAlignment="1">
      <alignment horizontal="right"/>
    </xf>
    <xf numFmtId="0" fontId="0" fillId="0" borderId="33" xfId="0" applyBorder="1" applyAlignment="1">
      <alignment wrapText="1"/>
    </xf>
    <xf numFmtId="0" fontId="31" fillId="4" borderId="8" xfId="0" applyFont="1" applyFill="1" applyBorder="1" applyAlignment="1">
      <alignment horizontal="center" vertical="top" wrapText="1"/>
    </xf>
    <xf numFmtId="165" fontId="31" fillId="15" borderId="8" xfId="0" applyNumberFormat="1" applyFont="1" applyFill="1" applyBorder="1" applyAlignment="1">
      <alignment horizontal="center" vertical="center"/>
    </xf>
    <xf numFmtId="165" fontId="31" fillId="4" borderId="8" xfId="0" applyNumberFormat="1" applyFont="1" applyFill="1" applyBorder="1" applyAlignment="1">
      <alignment horizontal="center" vertical="center"/>
    </xf>
    <xf numFmtId="0" fontId="31" fillId="4" borderId="0" xfId="0" applyFont="1" applyFill="1"/>
    <xf numFmtId="0" fontId="12" fillId="0" borderId="9" xfId="0" applyFont="1" applyBorder="1" applyAlignment="1">
      <alignment horizontal="left" vertical="center" wrapText="1"/>
    </xf>
    <xf numFmtId="0" fontId="14" fillId="0" borderId="0" xfId="0" applyFont="1" applyFill="1" applyBorder="1" applyAlignment="1">
      <alignment horizontal="left" vertical="center" wrapText="1"/>
    </xf>
    <xf numFmtId="0" fontId="14" fillId="0" borderId="33" xfId="0" applyFont="1" applyFill="1" applyBorder="1" applyAlignment="1">
      <alignment horizontal="left" vertical="center" wrapText="1"/>
    </xf>
    <xf numFmtId="0" fontId="30" fillId="0" borderId="0" xfId="0" applyFont="1" applyFill="1" applyBorder="1" applyAlignment="1" applyProtection="1">
      <alignment horizontal="right" vertical="center" wrapText="1"/>
    </xf>
    <xf numFmtId="0" fontId="32" fillId="0" borderId="0" xfId="0" applyFont="1" applyFill="1" applyBorder="1" applyAlignment="1" applyProtection="1">
      <alignment horizontal="center" vertical="top"/>
    </xf>
    <xf numFmtId="0" fontId="31" fillId="0" borderId="8" xfId="0" applyFont="1" applyBorder="1" applyAlignment="1">
      <alignment horizontal="center" vertical="center" wrapText="1"/>
    </xf>
    <xf numFmtId="14" fontId="31" fillId="0" borderId="0" xfId="0" applyNumberFormat="1" applyFont="1" applyFill="1" applyBorder="1" applyAlignment="1" applyProtection="1">
      <alignment horizontal="center" vertical="center"/>
      <protection locked="0"/>
    </xf>
    <xf numFmtId="2" fontId="7" fillId="0" borderId="0" xfId="0" applyNumberFormat="1" applyFont="1" applyFill="1" applyBorder="1" applyAlignment="1" applyProtection="1">
      <alignment horizontal="right" vertical="center"/>
      <protection locked="0"/>
    </xf>
    <xf numFmtId="0" fontId="0" fillId="0" borderId="0" xfId="0" applyFont="1" applyAlignment="1">
      <alignment horizontal="right"/>
    </xf>
    <xf numFmtId="0" fontId="7" fillId="9" borderId="0" xfId="0" applyFont="1" applyFill="1"/>
    <xf numFmtId="0" fontId="31" fillId="9" borderId="0" xfId="0" applyFont="1" applyFill="1"/>
    <xf numFmtId="0" fontId="31" fillId="10" borderId="0" xfId="0" applyFont="1" applyFill="1"/>
    <xf numFmtId="0" fontId="31" fillId="0" borderId="0" xfId="0" applyFont="1" applyFill="1"/>
    <xf numFmtId="0" fontId="31" fillId="0" borderId="0" xfId="0" applyFont="1" applyFill="1" applyBorder="1"/>
    <xf numFmtId="0" fontId="31" fillId="0" borderId="39" xfId="0" applyFont="1" applyBorder="1" applyAlignment="1">
      <alignment horizontal="center"/>
    </xf>
    <xf numFmtId="0" fontId="31" fillId="0" borderId="0" xfId="0" applyFont="1" applyFill="1" applyBorder="1" applyAlignment="1">
      <alignment horizontal="center"/>
    </xf>
    <xf numFmtId="0" fontId="31" fillId="0" borderId="39" xfId="0" applyFont="1" applyBorder="1" applyAlignment="1">
      <alignment horizontal="left"/>
    </xf>
    <xf numFmtId="0" fontId="31" fillId="0" borderId="0" xfId="0" applyFont="1" applyFill="1" applyBorder="1" applyAlignment="1">
      <alignment horizontal="left" vertical="center"/>
    </xf>
    <xf numFmtId="9" fontId="31" fillId="0" borderId="0" xfId="0" applyNumberFormat="1" applyFont="1" applyFill="1" applyBorder="1" applyAlignment="1">
      <alignment horizontal="center"/>
    </xf>
    <xf numFmtId="0" fontId="32" fillId="0" borderId="0" xfId="0" applyFont="1" applyAlignment="1">
      <alignment horizontal="center"/>
    </xf>
    <xf numFmtId="0" fontId="31" fillId="0" borderId="32" xfId="0" applyFont="1" applyBorder="1" applyAlignment="1">
      <alignment horizontal="center"/>
    </xf>
    <xf numFmtId="0" fontId="31" fillId="0" borderId="31" xfId="0" applyFont="1" applyBorder="1" applyAlignment="1">
      <alignment horizontal="center"/>
    </xf>
    <xf numFmtId="0" fontId="31" fillId="0" borderId="31" xfId="0" applyFont="1" applyBorder="1"/>
    <xf numFmtId="0" fontId="31" fillId="0" borderId="31" xfId="0" applyFont="1" applyBorder="1" applyAlignment="1">
      <alignment horizontal="left" vertical="center"/>
    </xf>
    <xf numFmtId="9" fontId="31" fillId="0" borderId="31" xfId="0" applyNumberFormat="1" applyFont="1" applyBorder="1" applyAlignment="1">
      <alignment horizontal="center"/>
    </xf>
    <xf numFmtId="0" fontId="31" fillId="0" borderId="8" xfId="0" applyFont="1" applyBorder="1" applyAlignment="1">
      <alignment horizontal="center"/>
    </xf>
    <xf numFmtId="3" fontId="31" fillId="0" borderId="0" xfId="0" applyNumberFormat="1" applyFont="1"/>
    <xf numFmtId="0" fontId="31" fillId="0" borderId="8" xfId="0" applyFont="1" applyBorder="1"/>
    <xf numFmtId="0" fontId="31" fillId="0" borderId="8" xfId="0" applyFont="1" applyBorder="1" applyAlignment="1">
      <alignment vertical="center" wrapText="1"/>
    </xf>
    <xf numFmtId="9" fontId="31" fillId="0" borderId="8" xfId="0" applyNumberFormat="1" applyFont="1" applyBorder="1"/>
    <xf numFmtId="0" fontId="31" fillId="0" borderId="5" xfId="0" applyFont="1" applyBorder="1"/>
    <xf numFmtId="9" fontId="31" fillId="0" borderId="0" xfId="0" applyNumberFormat="1" applyFont="1" applyAlignment="1">
      <alignment vertical="center" wrapText="1"/>
    </xf>
    <xf numFmtId="16" fontId="31" fillId="0" borderId="0" xfId="0" applyNumberFormat="1" applyFont="1" applyAlignment="1">
      <alignment vertical="center" wrapText="1"/>
    </xf>
    <xf numFmtId="0" fontId="31" fillId="0" borderId="8" xfId="0" applyFont="1" applyFill="1" applyBorder="1"/>
    <xf numFmtId="9" fontId="31" fillId="0" borderId="8" xfId="0" applyNumberFormat="1" applyFont="1" applyFill="1" applyBorder="1"/>
    <xf numFmtId="0" fontId="7" fillId="0" borderId="0" xfId="0" applyFont="1"/>
    <xf numFmtId="9" fontId="31" fillId="0" borderId="0" xfId="0" applyNumberFormat="1" applyFont="1" applyBorder="1"/>
    <xf numFmtId="0" fontId="31" fillId="0" borderId="12" xfId="0" applyFont="1" applyBorder="1"/>
    <xf numFmtId="0" fontId="31" fillId="0" borderId="0" xfId="0" applyFont="1" applyBorder="1" applyAlignment="1">
      <alignment horizontal="left" vertical="top" wrapText="1" indent="2"/>
    </xf>
    <xf numFmtId="0" fontId="7" fillId="0" borderId="0" xfId="0" applyFont="1" applyBorder="1"/>
    <xf numFmtId="164" fontId="31" fillId="2" borderId="39" xfId="0" applyNumberFormat="1" applyFont="1" applyFill="1" applyBorder="1" applyAlignment="1">
      <alignment horizontal="center" vertical="top" wrapText="1"/>
    </xf>
    <xf numFmtId="0" fontId="0" fillId="0" borderId="0" xfId="0" applyAlignment="1">
      <alignment wrapText="1"/>
    </xf>
    <xf numFmtId="0" fontId="29" fillId="0" borderId="0" xfId="0" applyFont="1" applyAlignment="1">
      <alignment wrapText="1"/>
    </xf>
    <xf numFmtId="0" fontId="0" fillId="0" borderId="0" xfId="0" applyAlignment="1">
      <alignment wrapText="1"/>
    </xf>
    <xf numFmtId="49" fontId="29" fillId="0" borderId="0" xfId="0" applyNumberFormat="1" applyFont="1" applyAlignment="1">
      <alignment wrapText="1"/>
    </xf>
    <xf numFmtId="0" fontId="28" fillId="0" borderId="0" xfId="0" applyFont="1" applyAlignment="1">
      <alignment wrapText="1"/>
    </xf>
    <xf numFmtId="0" fontId="0" fillId="0" borderId="0" xfId="0" applyAlignment="1"/>
    <xf numFmtId="0" fontId="14" fillId="2" borderId="43" xfId="0" applyFont="1" applyFill="1" applyBorder="1" applyAlignment="1">
      <alignment horizontal="left" vertical="center" wrapText="1"/>
    </xf>
    <xf numFmtId="0" fontId="14" fillId="3" borderId="43" xfId="0" applyFont="1" applyFill="1" applyBorder="1" applyAlignment="1">
      <alignment horizontal="left" vertical="center" wrapText="1"/>
    </xf>
    <xf numFmtId="0" fontId="4" fillId="0" borderId="0" xfId="0" applyFont="1" applyAlignment="1">
      <alignment wrapText="1"/>
    </xf>
    <xf numFmtId="0" fontId="18" fillId="0" borderId="18" xfId="0" applyFont="1" applyBorder="1" applyAlignment="1">
      <alignment vertical="top"/>
    </xf>
    <xf numFmtId="0" fontId="18" fillId="0" borderId="47" xfId="0" applyFont="1" applyBorder="1" applyAlignment="1"/>
    <xf numFmtId="0" fontId="18" fillId="0" borderId="47" xfId="0" applyFont="1" applyBorder="1" applyAlignment="1">
      <alignment vertical="top" wrapText="1"/>
    </xf>
    <xf numFmtId="0" fontId="18" fillId="0" borderId="47" xfId="0" applyFont="1" applyBorder="1" applyAlignment="1">
      <alignment vertical="top"/>
    </xf>
    <xf numFmtId="0" fontId="18" fillId="0" borderId="47" xfId="0" applyFont="1" applyBorder="1" applyAlignment="1">
      <alignment wrapText="1"/>
    </xf>
    <xf numFmtId="0" fontId="18" fillId="0" borderId="49" xfId="0" applyFont="1" applyBorder="1" applyAlignment="1">
      <alignment vertical="top" wrapText="1"/>
    </xf>
    <xf numFmtId="0" fontId="15" fillId="5" borderId="52" xfId="0" applyFont="1" applyFill="1" applyBorder="1" applyAlignment="1"/>
    <xf numFmtId="0" fontId="15" fillId="5" borderId="53" xfId="0" applyFont="1" applyFill="1" applyBorder="1" applyAlignment="1"/>
    <xf numFmtId="0" fontId="13" fillId="0" borderId="53" xfId="0" applyFont="1" applyBorder="1" applyAlignment="1"/>
    <xf numFmtId="0" fontId="16" fillId="5" borderId="52" xfId="0" applyFont="1" applyFill="1" applyBorder="1" applyAlignment="1">
      <alignment wrapText="1"/>
    </xf>
    <xf numFmtId="0" fontId="16" fillId="5" borderId="53" xfId="0" applyFont="1" applyFill="1" applyBorder="1" applyAlignment="1">
      <alignment wrapText="1"/>
    </xf>
    <xf numFmtId="0" fontId="47" fillId="0" borderId="0" xfId="0" applyFont="1" applyAlignment="1">
      <alignment horizontal="left" vertical="center" wrapText="1" readingOrder="1"/>
    </xf>
    <xf numFmtId="0" fontId="31" fillId="4" borderId="54" xfId="0" applyFont="1" applyFill="1" applyBorder="1"/>
    <xf numFmtId="0" fontId="31" fillId="0" borderId="57" xfId="0" applyFont="1" applyBorder="1" applyAlignment="1">
      <alignment horizontal="center" vertical="center" wrapText="1"/>
    </xf>
    <xf numFmtId="0" fontId="31" fillId="3" borderId="57" xfId="0" applyFont="1" applyFill="1" applyBorder="1" applyAlignment="1">
      <alignment horizontal="center" vertical="center" wrapText="1"/>
    </xf>
    <xf numFmtId="2" fontId="31" fillId="3" borderId="57" xfId="0" applyNumberFormat="1" applyFont="1" applyFill="1" applyBorder="1" applyAlignment="1">
      <alignment horizontal="center" vertical="center" wrapText="1"/>
    </xf>
    <xf numFmtId="2" fontId="31" fillId="2" borderId="57" xfId="0" applyNumberFormat="1" applyFont="1" applyFill="1" applyBorder="1" applyAlignment="1">
      <alignment horizontal="center" vertical="center" wrapText="1"/>
    </xf>
    <xf numFmtId="2" fontId="31" fillId="2" borderId="57" xfId="0" applyNumberFormat="1" applyFont="1" applyFill="1" applyBorder="1" applyAlignment="1">
      <alignment vertical="center" wrapText="1"/>
    </xf>
    <xf numFmtId="0" fontId="31" fillId="3" borderId="57" xfId="0" applyFont="1" applyFill="1" applyBorder="1" applyAlignment="1">
      <alignment vertical="center" wrapText="1"/>
    </xf>
    <xf numFmtId="0" fontId="31" fillId="3" borderId="57" xfId="0" applyFont="1" applyFill="1" applyBorder="1" applyAlignment="1">
      <alignment horizontal="center" vertical="center" wrapText="1"/>
    </xf>
    <xf numFmtId="0" fontId="31" fillId="0" borderId="57" xfId="0" applyFont="1" applyBorder="1" applyAlignment="1">
      <alignment horizontal="center" wrapText="1"/>
    </xf>
    <xf numFmtId="0" fontId="31" fillId="2" borderId="57" xfId="0" applyFont="1" applyFill="1" applyBorder="1" applyAlignment="1">
      <alignment horizontal="center" vertical="center" wrapText="1"/>
    </xf>
    <xf numFmtId="164" fontId="31" fillId="4" borderId="39" xfId="0" applyNumberFormat="1" applyFont="1" applyFill="1" applyBorder="1" applyAlignment="1" applyProtection="1">
      <alignment horizontal="center" vertical="center"/>
      <protection locked="0"/>
    </xf>
    <xf numFmtId="0" fontId="39" fillId="0" borderId="0" xfId="0" applyFont="1" applyFill="1" applyBorder="1" applyAlignment="1" applyProtection="1">
      <alignment horizontal="center" vertical="center" wrapText="1"/>
    </xf>
    <xf numFmtId="1" fontId="34" fillId="3" borderId="57" xfId="0" applyNumberFormat="1" applyFont="1" applyFill="1" applyBorder="1" applyAlignment="1">
      <alignment horizontal="center" vertical="center" wrapText="1"/>
    </xf>
    <xf numFmtId="0" fontId="6" fillId="0" borderId="0" xfId="0" applyFont="1" applyBorder="1" applyAlignment="1">
      <alignment vertical="center" wrapText="1"/>
    </xf>
    <xf numFmtId="168" fontId="31" fillId="2" borderId="20" xfId="0" applyNumberFormat="1" applyFont="1" applyFill="1" applyBorder="1" applyAlignment="1" applyProtection="1">
      <alignment horizontal="center" vertical="center" wrapText="1"/>
      <protection locked="0"/>
    </xf>
    <xf numFmtId="168" fontId="31" fillId="2" borderId="39" xfId="0" applyNumberFormat="1" applyFont="1" applyFill="1" applyBorder="1" applyAlignment="1" applyProtection="1">
      <alignment horizontal="center" vertical="center"/>
      <protection locked="0"/>
    </xf>
    <xf numFmtId="49" fontId="29" fillId="0" borderId="0" xfId="0" applyNumberFormat="1" applyFont="1" applyBorder="1" applyAlignment="1">
      <alignment vertical="center"/>
    </xf>
    <xf numFmtId="0" fontId="29" fillId="0" borderId="0" xfId="0" applyFont="1" applyBorder="1" applyAlignment="1">
      <alignment horizontal="left" vertical="center"/>
    </xf>
    <xf numFmtId="165" fontId="31" fillId="3" borderId="57" xfId="0" applyNumberFormat="1" applyFont="1" applyFill="1" applyBorder="1" applyAlignment="1">
      <alignment horizontal="center"/>
    </xf>
    <xf numFmtId="0" fontId="6" fillId="0" borderId="0" xfId="0" applyFont="1" applyBorder="1" applyAlignment="1">
      <alignment vertical="center" wrapText="1"/>
    </xf>
    <xf numFmtId="165" fontId="31" fillId="3" borderId="8" xfId="0" applyNumberFormat="1" applyFont="1" applyFill="1" applyBorder="1" applyAlignment="1">
      <alignment horizontal="center" vertical="center"/>
    </xf>
    <xf numFmtId="0" fontId="31" fillId="3" borderId="57" xfId="0" applyFont="1" applyFill="1" applyBorder="1" applyAlignment="1">
      <alignment horizontal="center" vertical="center" wrapText="1"/>
    </xf>
    <xf numFmtId="1" fontId="26" fillId="0" borderId="0" xfId="0" applyNumberFormat="1" applyFont="1" applyAlignment="1">
      <alignment horizontal="right" vertical="center"/>
    </xf>
    <xf numFmtId="0" fontId="31" fillId="2" borderId="57" xfId="0" applyFont="1" applyFill="1" applyBorder="1" applyAlignment="1">
      <alignment horizontal="center" vertical="top" wrapText="1"/>
    </xf>
    <xf numFmtId="0" fontId="25" fillId="0" borderId="55" xfId="0" applyFont="1" applyFill="1" applyBorder="1" applyAlignment="1" applyProtection="1">
      <alignment horizontal="center" vertical="center" wrapText="1"/>
    </xf>
    <xf numFmtId="0" fontId="25" fillId="3" borderId="55" xfId="0" applyFont="1" applyFill="1" applyBorder="1" applyAlignment="1" applyProtection="1">
      <alignment horizontal="center" vertical="center" wrapText="1"/>
    </xf>
    <xf numFmtId="0" fontId="7" fillId="13" borderId="54" xfId="0" applyFont="1" applyFill="1" applyBorder="1" applyAlignment="1"/>
    <xf numFmtId="0" fontId="7" fillId="13" borderId="55" xfId="0" applyFont="1" applyFill="1" applyBorder="1" applyAlignment="1"/>
    <xf numFmtId="0" fontId="7" fillId="13" borderId="56" xfId="0" applyFont="1" applyFill="1" applyBorder="1" applyAlignment="1"/>
    <xf numFmtId="0" fontId="31" fillId="3" borderId="57" xfId="0" applyFont="1" applyFill="1" applyBorder="1" applyAlignment="1">
      <alignment horizontal="center" vertical="center" textRotation="90" wrapText="1"/>
    </xf>
    <xf numFmtId="0" fontId="31" fillId="13" borderId="57" xfId="0" applyFont="1" applyFill="1" applyBorder="1" applyAlignment="1">
      <alignment horizontal="center" vertical="center" textRotation="90" wrapText="1"/>
    </xf>
    <xf numFmtId="0" fontId="31" fillId="3" borderId="57" xfId="0" applyFont="1" applyFill="1" applyBorder="1" applyAlignment="1">
      <alignment horizontal="center" vertical="top" wrapText="1"/>
    </xf>
    <xf numFmtId="0" fontId="31" fillId="13" borderId="57" xfId="0" applyFont="1" applyFill="1" applyBorder="1" applyAlignment="1">
      <alignment horizontal="center" vertical="top" wrapText="1"/>
    </xf>
    <xf numFmtId="167" fontId="31" fillId="3" borderId="57" xfId="2" applyNumberFormat="1" applyFont="1" applyFill="1" applyBorder="1" applyAlignment="1">
      <alignment horizontal="center" vertical="center" wrapText="1"/>
    </xf>
    <xf numFmtId="0" fontId="31" fillId="13" borderId="57" xfId="0" applyFont="1" applyFill="1" applyBorder="1" applyAlignment="1">
      <alignment horizontal="center" vertical="center" wrapText="1"/>
    </xf>
    <xf numFmtId="0" fontId="31" fillId="4" borderId="57" xfId="0" applyFont="1" applyFill="1" applyBorder="1" applyAlignment="1">
      <alignment horizontal="center" vertical="top" wrapText="1"/>
    </xf>
    <xf numFmtId="0" fontId="31" fillId="15" borderId="57" xfId="0" applyFont="1" applyFill="1" applyBorder="1" applyAlignment="1">
      <alignment horizontal="center" vertical="center" textRotation="90" wrapText="1"/>
    </xf>
    <xf numFmtId="0" fontId="31" fillId="4" borderId="57" xfId="0" applyFont="1" applyFill="1" applyBorder="1" applyAlignment="1">
      <alignment horizontal="center" vertical="center" textRotation="90" wrapText="1"/>
    </xf>
    <xf numFmtId="0" fontId="31" fillId="15" borderId="57" xfId="0" applyFont="1" applyFill="1" applyBorder="1" applyAlignment="1">
      <alignment horizontal="center" vertical="top" wrapText="1"/>
    </xf>
    <xf numFmtId="3" fontId="31" fillId="4" borderId="57" xfId="0" applyNumberFormat="1" applyFont="1" applyFill="1" applyBorder="1" applyAlignment="1">
      <alignment horizontal="center" vertical="top" wrapText="1"/>
    </xf>
    <xf numFmtId="3" fontId="31" fillId="15" borderId="57" xfId="0" applyNumberFormat="1" applyFont="1" applyFill="1" applyBorder="1" applyAlignment="1">
      <alignment horizontal="center" vertical="top" wrapText="1"/>
    </xf>
    <xf numFmtId="3" fontId="31" fillId="3" borderId="57" xfId="0" applyNumberFormat="1" applyFont="1" applyFill="1" applyBorder="1" applyAlignment="1">
      <alignment horizontal="center" vertical="top" wrapText="1"/>
    </xf>
    <xf numFmtId="3" fontId="31" fillId="15" borderId="57" xfId="0" applyNumberFormat="1" applyFont="1" applyFill="1" applyBorder="1" applyAlignment="1">
      <alignment horizontal="center"/>
    </xf>
    <xf numFmtId="3" fontId="31" fillId="4" borderId="57" xfId="0" applyNumberFormat="1" applyFont="1" applyFill="1" applyBorder="1" applyAlignment="1">
      <alignment horizontal="center"/>
    </xf>
    <xf numFmtId="3" fontId="31" fillId="3" borderId="57" xfId="0" applyNumberFormat="1" applyFont="1" applyFill="1" applyBorder="1" applyAlignment="1">
      <alignment horizontal="center"/>
    </xf>
    <xf numFmtId="165" fontId="7" fillId="15" borderId="57" xfId="0" applyNumberFormat="1" applyFont="1" applyFill="1" applyBorder="1" applyAlignment="1">
      <alignment horizontal="center" vertical="top" wrapText="1"/>
    </xf>
    <xf numFmtId="165" fontId="7" fillId="4" borderId="57" xfId="0" applyNumberFormat="1" applyFont="1" applyFill="1" applyBorder="1" applyAlignment="1">
      <alignment horizontal="center" vertical="top" wrapText="1"/>
    </xf>
    <xf numFmtId="165" fontId="7" fillId="3" borderId="57" xfId="0" applyNumberFormat="1" applyFont="1" applyFill="1" applyBorder="1" applyAlignment="1">
      <alignment horizontal="center" vertical="top" wrapText="1"/>
    </xf>
    <xf numFmtId="0" fontId="31" fillId="15" borderId="62" xfId="0" applyFont="1" applyFill="1" applyBorder="1" applyAlignment="1">
      <alignment horizontal="center" vertical="center" textRotation="90" wrapText="1"/>
    </xf>
    <xf numFmtId="0" fontId="31" fillId="4" borderId="62" xfId="0" applyFont="1" applyFill="1" applyBorder="1" applyAlignment="1">
      <alignment horizontal="center" vertical="center" textRotation="90" wrapText="1"/>
    </xf>
    <xf numFmtId="0" fontId="31" fillId="3" borderId="62" xfId="0" applyFont="1" applyFill="1" applyBorder="1" applyAlignment="1">
      <alignment horizontal="center" vertical="center" textRotation="90" wrapText="1"/>
    </xf>
    <xf numFmtId="0" fontId="31" fillId="3" borderId="54" xfId="0" applyFont="1" applyFill="1" applyBorder="1" applyAlignment="1">
      <alignment horizontal="center" vertical="top" wrapText="1"/>
    </xf>
    <xf numFmtId="0" fontId="31" fillId="2" borderId="65" xfId="0" applyFont="1" applyFill="1" applyBorder="1" applyAlignment="1">
      <alignment horizontal="center" vertical="top" wrapText="1"/>
    </xf>
    <xf numFmtId="0" fontId="31" fillId="2" borderId="66" xfId="0" applyFont="1" applyFill="1" applyBorder="1" applyAlignment="1">
      <alignment horizontal="center" vertical="top" wrapText="1"/>
    </xf>
    <xf numFmtId="0" fontId="31" fillId="2" borderId="67" xfId="0" applyFont="1" applyFill="1" applyBorder="1" applyAlignment="1">
      <alignment horizontal="center" vertical="top" wrapText="1"/>
    </xf>
    <xf numFmtId="0" fontId="31" fillId="2" borderId="68" xfId="0" applyFont="1" applyFill="1" applyBorder="1" applyAlignment="1">
      <alignment horizontal="center" vertical="top" wrapText="1"/>
    </xf>
    <xf numFmtId="0" fontId="31" fillId="2" borderId="69" xfId="0" applyFont="1" applyFill="1" applyBorder="1" applyAlignment="1">
      <alignment horizontal="center" vertical="top" wrapText="1"/>
    </xf>
    <xf numFmtId="0" fontId="31" fillId="3" borderId="65" xfId="0" applyFont="1" applyFill="1" applyBorder="1" applyAlignment="1">
      <alignment horizontal="center" vertical="center" textRotation="90" wrapText="1"/>
    </xf>
    <xf numFmtId="0" fontId="31" fillId="3" borderId="66" xfId="0" applyFont="1" applyFill="1" applyBorder="1" applyAlignment="1">
      <alignment horizontal="center" vertical="center" textRotation="90" wrapText="1"/>
    </xf>
    <xf numFmtId="0" fontId="31" fillId="13" borderId="65" xfId="0" applyFont="1" applyFill="1" applyBorder="1" applyAlignment="1">
      <alignment horizontal="center" vertical="center" textRotation="90" wrapText="1"/>
    </xf>
    <xf numFmtId="0" fontId="31" fillId="13" borderId="66" xfId="0" applyFont="1" applyFill="1" applyBorder="1" applyAlignment="1">
      <alignment horizontal="center" vertical="center" textRotation="90" wrapText="1"/>
    </xf>
    <xf numFmtId="0" fontId="6" fillId="0" borderId="0" xfId="0" applyFont="1" applyBorder="1" applyAlignment="1">
      <alignment vertical="center"/>
    </xf>
    <xf numFmtId="165" fontId="31" fillId="3" borderId="57" xfId="0" applyNumberFormat="1" applyFont="1" applyFill="1" applyBorder="1" applyAlignment="1">
      <alignment horizontal="center" vertical="center"/>
    </xf>
    <xf numFmtId="0" fontId="0" fillId="0" borderId="50" xfId="0" applyBorder="1" applyAlignment="1">
      <alignment horizontal="left" wrapText="1"/>
    </xf>
    <xf numFmtId="0" fontId="0" fillId="0" borderId="51" xfId="0" applyBorder="1" applyAlignment="1">
      <alignment horizontal="left" wrapText="1"/>
    </xf>
    <xf numFmtId="0" fontId="0" fillId="0" borderId="43" xfId="0" applyBorder="1" applyAlignment="1">
      <alignment horizontal="left" wrapText="1"/>
    </xf>
    <xf numFmtId="0" fontId="0" fillId="0" borderId="48" xfId="0" applyBorder="1" applyAlignment="1">
      <alignment horizontal="left" wrapText="1"/>
    </xf>
    <xf numFmtId="0" fontId="0" fillId="0" borderId="43" xfId="0" applyBorder="1" applyAlignment="1">
      <alignment horizontal="left"/>
    </xf>
    <xf numFmtId="0" fontId="0" fillId="0" borderId="48" xfId="0" applyBorder="1" applyAlignment="1">
      <alignment horizontal="left"/>
    </xf>
    <xf numFmtId="0" fontId="0" fillId="0" borderId="43" xfId="0" applyBorder="1" applyAlignment="1">
      <alignment horizontal="left" vertical="top" wrapText="1"/>
    </xf>
    <xf numFmtId="0" fontId="0" fillId="0" borderId="48" xfId="0" applyBorder="1" applyAlignment="1">
      <alignment horizontal="left" vertical="top" wrapText="1"/>
    </xf>
    <xf numFmtId="0" fontId="7" fillId="16" borderId="44" xfId="0" applyFont="1" applyFill="1" applyBorder="1" applyAlignment="1">
      <alignment wrapText="1"/>
    </xf>
    <xf numFmtId="0" fontId="7" fillId="16" borderId="45" xfId="0" applyFont="1" applyFill="1" applyBorder="1" applyAlignment="1">
      <alignment wrapText="1"/>
    </xf>
    <xf numFmtId="0" fontId="7" fillId="16" borderId="46" xfId="0" applyFont="1" applyFill="1" applyBorder="1" applyAlignment="1">
      <alignment wrapText="1"/>
    </xf>
    <xf numFmtId="0" fontId="0" fillId="0" borderId="13" xfId="0" applyBorder="1" applyAlignment="1">
      <alignment horizontal="left" wrapText="1"/>
    </xf>
    <xf numFmtId="0" fontId="0" fillId="0" borderId="19" xfId="0" applyBorder="1" applyAlignment="1">
      <alignment horizontal="left" wrapText="1"/>
    </xf>
    <xf numFmtId="0" fontId="7" fillId="16" borderId="40" xfId="0" applyFont="1" applyFill="1" applyBorder="1" applyAlignment="1">
      <alignment wrapText="1"/>
    </xf>
    <xf numFmtId="0" fontId="7" fillId="16" borderId="41" xfId="0" applyFont="1" applyFill="1" applyBorder="1" applyAlignment="1">
      <alignment wrapText="1"/>
    </xf>
    <xf numFmtId="0" fontId="7" fillId="16" borderId="42" xfId="0" applyFont="1" applyFill="1" applyBorder="1" applyAlignment="1">
      <alignment wrapText="1"/>
    </xf>
    <xf numFmtId="0" fontId="0" fillId="0" borderId="0" xfId="0" applyAlignment="1">
      <alignment horizontal="left" wrapText="1"/>
    </xf>
    <xf numFmtId="0" fontId="29" fillId="0" borderId="0" xfId="0" applyFont="1" applyAlignment="1">
      <alignment horizontal="center" wrapText="1"/>
    </xf>
    <xf numFmtId="0" fontId="29" fillId="0" borderId="0" xfId="0" applyFont="1" applyAlignment="1">
      <alignment horizontal="left" wrapText="1"/>
    </xf>
    <xf numFmtId="0" fontId="28" fillId="0" borderId="0" xfId="0" applyFont="1" applyAlignment="1">
      <alignment horizontal="left" wrapText="1"/>
    </xf>
    <xf numFmtId="0" fontId="7" fillId="0" borderId="28" xfId="0" applyFont="1" applyBorder="1" applyAlignment="1">
      <alignment horizontal="center" wrapText="1"/>
    </xf>
    <xf numFmtId="0" fontId="31" fillId="19" borderId="38" xfId="0" applyFont="1" applyFill="1" applyBorder="1" applyAlignment="1" applyProtection="1">
      <alignment horizontal="left" vertical="top"/>
      <protection locked="0"/>
    </xf>
    <xf numFmtId="0" fontId="31" fillId="0" borderId="38" xfId="0" applyFont="1" applyFill="1" applyBorder="1" applyAlignment="1" applyProtection="1">
      <alignment horizontal="left" vertical="top" wrapText="1"/>
    </xf>
    <xf numFmtId="49" fontId="31" fillId="2" borderId="31" xfId="0" applyNumberFormat="1" applyFont="1" applyFill="1" applyBorder="1" applyAlignment="1" applyProtection="1">
      <alignment horizontal="center" vertical="center"/>
      <protection locked="0"/>
    </xf>
    <xf numFmtId="2" fontId="31" fillId="2" borderId="20" xfId="0" applyNumberFormat="1" applyFont="1" applyFill="1" applyBorder="1" applyAlignment="1" applyProtection="1">
      <alignment horizontal="center" vertical="center"/>
      <protection locked="0"/>
    </xf>
    <xf numFmtId="0" fontId="7" fillId="0" borderId="34" xfId="0" applyFont="1" applyBorder="1" applyAlignment="1">
      <alignment horizontal="center"/>
    </xf>
    <xf numFmtId="0" fontId="7" fillId="0" borderId="35" xfId="0" applyFont="1" applyBorder="1" applyAlignment="1">
      <alignment horizontal="center"/>
    </xf>
    <xf numFmtId="0" fontId="31" fillId="0" borderId="31" xfId="0" applyFont="1" applyBorder="1" applyAlignment="1">
      <alignment horizontal="left"/>
    </xf>
    <xf numFmtId="0" fontId="32" fillId="0" borderId="0" xfId="0" applyFont="1" applyFill="1" applyBorder="1" applyAlignment="1" applyProtection="1">
      <alignment horizontal="right" vertical="top"/>
    </xf>
    <xf numFmtId="0" fontId="31" fillId="0" borderId="0" xfId="0" applyFont="1" applyBorder="1" applyAlignment="1">
      <alignment horizontal="right"/>
    </xf>
    <xf numFmtId="0" fontId="30" fillId="0" borderId="20" xfId="0" applyFont="1" applyFill="1" applyBorder="1" applyAlignment="1" applyProtection="1">
      <alignment horizontal="left" vertical="top" wrapText="1"/>
    </xf>
    <xf numFmtId="0" fontId="31" fillId="2" borderId="20" xfId="0" applyFont="1" applyFill="1" applyBorder="1" applyAlignment="1" applyProtection="1">
      <alignment horizontal="left" vertical="top" wrapText="1"/>
      <protection locked="0"/>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0" xfId="0" applyFont="1" applyBorder="1" applyAlignment="1">
      <alignment horizontal="center" vertical="center" wrapText="1"/>
    </xf>
    <xf numFmtId="0" fontId="32" fillId="0" borderId="0" xfId="0" applyFont="1" applyFill="1" applyBorder="1" applyAlignment="1" applyProtection="1">
      <alignment horizontal="center" vertical="top"/>
    </xf>
    <xf numFmtId="14" fontId="31" fillId="2" borderId="31" xfId="0" applyNumberFormat="1" applyFont="1" applyFill="1" applyBorder="1" applyAlignment="1" applyProtection="1">
      <alignment horizontal="center" vertical="center"/>
      <protection locked="0"/>
    </xf>
    <xf numFmtId="0" fontId="30" fillId="0" borderId="0" xfId="0" applyFont="1" applyFill="1" applyBorder="1" applyAlignment="1" applyProtection="1">
      <alignment horizontal="right" vertical="center" wrapText="1"/>
    </xf>
    <xf numFmtId="0" fontId="27" fillId="0" borderId="23" xfId="0" applyFont="1" applyBorder="1" applyAlignment="1" applyProtection="1">
      <alignment horizontal="center" vertical="center" wrapText="1"/>
    </xf>
    <xf numFmtId="0" fontId="27" fillId="0" borderId="2" xfId="0" applyFont="1" applyBorder="1" applyAlignment="1" applyProtection="1">
      <alignment horizontal="center" vertical="center" wrapText="1"/>
    </xf>
    <xf numFmtId="0" fontId="27" fillId="0" borderId="24" xfId="0" applyFont="1" applyBorder="1" applyAlignment="1" applyProtection="1">
      <alignment horizontal="center" vertical="center" wrapText="1"/>
    </xf>
    <xf numFmtId="0" fontId="28" fillId="0" borderId="25" xfId="0" applyFont="1" applyBorder="1" applyAlignment="1" applyProtection="1">
      <alignment horizontal="center" vertical="center"/>
    </xf>
    <xf numFmtId="0" fontId="28" fillId="0" borderId="26" xfId="0" applyFont="1" applyBorder="1" applyAlignment="1" applyProtection="1">
      <alignment horizontal="center" vertical="center"/>
    </xf>
    <xf numFmtId="0" fontId="28" fillId="0" borderId="27" xfId="0" applyFont="1" applyBorder="1" applyAlignment="1" applyProtection="1">
      <alignment horizontal="center" vertical="center"/>
    </xf>
    <xf numFmtId="2" fontId="31" fillId="2" borderId="39" xfId="0" applyNumberFormat="1" applyFont="1" applyFill="1" applyBorder="1" applyAlignment="1" applyProtection="1">
      <alignment horizontal="center" vertical="center"/>
      <protection locked="0"/>
    </xf>
    <xf numFmtId="0" fontId="31" fillId="3" borderId="12" xfId="0" applyFont="1" applyFill="1" applyBorder="1" applyAlignment="1">
      <alignment horizontal="center" vertical="center" wrapText="1"/>
    </xf>
    <xf numFmtId="0" fontId="31" fillId="3" borderId="13" xfId="0" applyFont="1" applyFill="1" applyBorder="1" applyAlignment="1">
      <alignment horizontal="center" vertical="center" wrapText="1"/>
    </xf>
    <xf numFmtId="164" fontId="31" fillId="4" borderId="39"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right" vertical="center" wrapText="1"/>
    </xf>
    <xf numFmtId="0" fontId="7" fillId="0" borderId="13" xfId="0" applyFont="1" applyBorder="1" applyAlignment="1">
      <alignment horizontal="center" vertical="center"/>
    </xf>
    <xf numFmtId="0" fontId="7" fillId="0" borderId="20" xfId="0" applyFont="1" applyBorder="1" applyAlignment="1">
      <alignment horizontal="center" vertical="center"/>
    </xf>
    <xf numFmtId="0" fontId="31" fillId="0" borderId="13" xfId="0" applyFont="1" applyBorder="1" applyAlignment="1">
      <alignment horizontal="left"/>
    </xf>
    <xf numFmtId="0" fontId="31" fillId="0" borderId="38" xfId="0" applyFont="1" applyBorder="1" applyAlignment="1">
      <alignment horizontal="left"/>
    </xf>
    <xf numFmtId="0" fontId="31" fillId="0" borderId="20" xfId="0" applyFont="1" applyFill="1" applyBorder="1" applyAlignment="1" applyProtection="1">
      <alignment horizontal="left" vertical="top" wrapText="1"/>
    </xf>
    <xf numFmtId="0" fontId="7" fillId="0" borderId="20" xfId="0" applyFont="1" applyFill="1" applyBorder="1" applyAlignment="1">
      <alignment horizontal="left" vertical="center" wrapText="1"/>
    </xf>
    <xf numFmtId="0" fontId="31" fillId="2" borderId="20" xfId="0" applyFont="1" applyFill="1" applyBorder="1" applyAlignment="1">
      <alignment horizontal="left" vertical="center" wrapText="1"/>
    </xf>
    <xf numFmtId="0" fontId="7" fillId="3" borderId="31" xfId="0" applyFont="1" applyFill="1" applyBorder="1" applyAlignment="1">
      <alignment horizontal="left" vertical="center"/>
    </xf>
    <xf numFmtId="0" fontId="25" fillId="0" borderId="31" xfId="0" applyFont="1" applyFill="1" applyBorder="1" applyAlignment="1" applyProtection="1">
      <alignment horizontal="center" vertical="center" wrapText="1"/>
    </xf>
    <xf numFmtId="0" fontId="7" fillId="7" borderId="32"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25" fillId="0" borderId="31" xfId="0" applyFont="1" applyFill="1" applyBorder="1" applyAlignment="1" applyProtection="1">
      <alignment horizontal="left" vertical="center" wrapText="1"/>
    </xf>
    <xf numFmtId="0" fontId="34" fillId="0" borderId="31" xfId="0" applyFont="1" applyFill="1" applyBorder="1" applyAlignment="1">
      <alignment horizontal="left" vertical="center" wrapText="1"/>
    </xf>
    <xf numFmtId="0" fontId="37" fillId="0" borderId="31" xfId="0" applyFont="1" applyFill="1" applyBorder="1" applyAlignment="1" applyProtection="1">
      <alignment horizontal="left" vertical="center" wrapText="1"/>
    </xf>
    <xf numFmtId="0" fontId="34" fillId="0" borderId="31" xfId="0" applyFont="1" applyFill="1" applyBorder="1" applyAlignment="1" applyProtection="1">
      <alignment horizontal="left" vertical="center" wrapText="1"/>
    </xf>
    <xf numFmtId="0" fontId="7" fillId="0"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31" fillId="2" borderId="5" xfId="0" applyFont="1" applyFill="1" applyBorder="1" applyAlignment="1">
      <alignment horizontal="left" vertical="center" wrapText="1"/>
    </xf>
    <xf numFmtId="0" fontId="31" fillId="2" borderId="7" xfId="0" applyFont="1" applyFill="1" applyBorder="1" applyAlignment="1">
      <alignment horizontal="left" vertical="center" wrapText="1"/>
    </xf>
    <xf numFmtId="0" fontId="31" fillId="2" borderId="21" xfId="0" applyFont="1" applyFill="1" applyBorder="1" applyAlignment="1">
      <alignment horizontal="left" vertical="center" wrapText="1"/>
    </xf>
    <xf numFmtId="0" fontId="31" fillId="0" borderId="12" xfId="0" applyFont="1" applyFill="1" applyBorder="1" applyAlignment="1">
      <alignment horizontal="center" vertical="center" wrapText="1"/>
    </xf>
    <xf numFmtId="0" fontId="31" fillId="0" borderId="28"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4" fillId="0" borderId="32" xfId="0" applyFont="1" applyFill="1" applyBorder="1" applyAlignment="1" applyProtection="1">
      <alignment horizontal="center" vertical="center" wrapText="1"/>
    </xf>
    <xf numFmtId="0" fontId="34" fillId="0" borderId="30" xfId="0" applyFont="1" applyFill="1" applyBorder="1" applyAlignment="1" applyProtection="1">
      <alignment horizontal="center" vertical="center" wrapText="1"/>
    </xf>
    <xf numFmtId="0" fontId="7" fillId="0" borderId="31" xfId="0" applyFont="1" applyFill="1" applyBorder="1" applyAlignment="1">
      <alignment horizontal="left" vertical="center" wrapText="1"/>
    </xf>
    <xf numFmtId="0" fontId="31" fillId="0" borderId="31" xfId="0" applyFont="1" applyFill="1" applyBorder="1" applyAlignment="1">
      <alignment horizontal="left" vertical="center" wrapText="1"/>
    </xf>
    <xf numFmtId="0" fontId="31" fillId="0" borderId="58"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8" fillId="0" borderId="9" xfId="0" applyFont="1" applyFill="1" applyBorder="1" applyAlignment="1">
      <alignment horizontal="right" vertical="center" wrapText="1"/>
    </xf>
    <xf numFmtId="0" fontId="24" fillId="0" borderId="5" xfId="0" applyFont="1" applyFill="1" applyBorder="1" applyAlignment="1" applyProtection="1">
      <alignment horizontal="center" vertical="center" wrapText="1"/>
    </xf>
    <xf numFmtId="0" fontId="24" fillId="0" borderId="21" xfId="0" applyFont="1" applyFill="1" applyBorder="1" applyAlignment="1" applyProtection="1">
      <alignment horizontal="center" vertical="center" wrapText="1"/>
    </xf>
    <xf numFmtId="0" fontId="8" fillId="0" borderId="5" xfId="0" applyFont="1" applyFill="1" applyBorder="1" applyAlignment="1" applyProtection="1">
      <alignment horizontal="right" vertical="center" wrapText="1"/>
    </xf>
    <xf numFmtId="0" fontId="8" fillId="0" borderId="21" xfId="0" applyFont="1" applyFill="1" applyBorder="1" applyAlignment="1" applyProtection="1">
      <alignment horizontal="right" vertical="center" wrapText="1"/>
    </xf>
    <xf numFmtId="0" fontId="31" fillId="3" borderId="12" xfId="0" applyFont="1" applyFill="1" applyBorder="1" applyAlignment="1">
      <alignment horizontal="center" vertical="center" textRotation="90" wrapText="1"/>
    </xf>
    <xf numFmtId="0" fontId="31" fillId="3" borderId="13" xfId="0" applyFont="1" applyFill="1" applyBorder="1" applyAlignment="1">
      <alignment horizontal="center" vertical="center" textRotation="90" wrapText="1"/>
    </xf>
    <xf numFmtId="0" fontId="31" fillId="13" borderId="12" xfId="0" applyFont="1" applyFill="1" applyBorder="1" applyAlignment="1">
      <alignment horizontal="center" vertical="center" textRotation="90" wrapText="1"/>
    </xf>
    <xf numFmtId="0" fontId="31" fillId="13" borderId="13" xfId="0" applyFont="1" applyFill="1" applyBorder="1" applyAlignment="1">
      <alignment horizontal="center" vertical="center" textRotation="90" wrapText="1"/>
    </xf>
    <xf numFmtId="0" fontId="34" fillId="13" borderId="70" xfId="0" applyFont="1" applyFill="1" applyBorder="1" applyAlignment="1">
      <alignment horizontal="center" vertical="center" wrapText="1"/>
    </xf>
    <xf numFmtId="0" fontId="34" fillId="13" borderId="71" xfId="0" applyFont="1" applyFill="1" applyBorder="1" applyAlignment="1">
      <alignment horizontal="center" vertical="center" wrapText="1"/>
    </xf>
    <xf numFmtId="0" fontId="34" fillId="13" borderId="72" xfId="0" applyFont="1" applyFill="1" applyBorder="1" applyAlignment="1">
      <alignment horizontal="center" vertical="center" wrapText="1"/>
    </xf>
    <xf numFmtId="0" fontId="31" fillId="13" borderId="62" xfId="0" applyFont="1" applyFill="1" applyBorder="1" applyAlignment="1">
      <alignment horizontal="center" vertical="center" textRotation="90" wrapText="1"/>
    </xf>
    <xf numFmtId="0" fontId="25" fillId="0" borderId="54" xfId="0" applyFont="1" applyFill="1" applyBorder="1" applyAlignment="1" applyProtection="1">
      <alignment horizontal="center" vertical="center" wrapText="1"/>
    </xf>
    <xf numFmtId="0" fontId="25" fillId="0" borderId="55" xfId="0" applyFont="1" applyFill="1" applyBorder="1" applyAlignment="1" applyProtection="1">
      <alignment horizontal="center" vertical="center" wrapText="1"/>
    </xf>
    <xf numFmtId="0" fontId="25" fillId="0" borderId="56" xfId="0" applyFont="1" applyFill="1" applyBorder="1" applyAlignment="1" applyProtection="1">
      <alignment horizontal="center" vertical="center" wrapText="1"/>
    </xf>
    <xf numFmtId="0" fontId="31" fillId="2" borderId="32"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1" fillId="3" borderId="63" xfId="0" applyFont="1" applyFill="1" applyBorder="1" applyAlignment="1">
      <alignment horizontal="center" vertical="center"/>
    </xf>
    <xf numFmtId="0" fontId="31" fillId="3" borderId="16" xfId="0" applyFont="1" applyFill="1" applyBorder="1" applyAlignment="1">
      <alignment horizontal="center" vertical="center"/>
    </xf>
    <xf numFmtId="0" fontId="31" fillId="3" borderId="64" xfId="0" applyFont="1" applyFill="1" applyBorder="1" applyAlignment="1">
      <alignment horizontal="center" vertical="center"/>
    </xf>
    <xf numFmtId="0" fontId="34" fillId="13" borderId="63" xfId="0" applyFont="1" applyFill="1" applyBorder="1" applyAlignment="1">
      <alignment horizontal="center" vertical="center" wrapText="1"/>
    </xf>
    <xf numFmtId="0" fontId="34" fillId="13" borderId="16" xfId="0" applyFont="1" applyFill="1" applyBorder="1" applyAlignment="1">
      <alignment horizontal="center" vertical="center" wrapText="1"/>
    </xf>
    <xf numFmtId="0" fontId="34" fillId="13" borderId="64" xfId="0" applyFont="1" applyFill="1" applyBorder="1" applyAlignment="1">
      <alignment horizontal="center" vertical="center" wrapText="1"/>
    </xf>
    <xf numFmtId="0" fontId="34" fillId="3" borderId="63" xfId="0" applyFont="1" applyFill="1" applyBorder="1" applyAlignment="1">
      <alignment horizontal="center" vertical="center" wrapText="1"/>
    </xf>
    <xf numFmtId="0" fontId="34" fillId="3" borderId="16" xfId="0" applyFont="1" applyFill="1" applyBorder="1" applyAlignment="1">
      <alignment horizontal="center" vertical="center" wrapText="1"/>
    </xf>
    <xf numFmtId="0" fontId="34" fillId="3" borderId="64" xfId="0" applyFont="1" applyFill="1" applyBorder="1" applyAlignment="1">
      <alignment horizontal="center" vertical="center" wrapText="1"/>
    </xf>
    <xf numFmtId="0" fontId="39" fillId="0" borderId="57" xfId="0" applyFont="1" applyFill="1" applyBorder="1" applyAlignment="1" applyProtection="1">
      <alignment horizontal="left" vertical="center" wrapText="1"/>
    </xf>
    <xf numFmtId="0" fontId="39" fillId="17" borderId="0"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xf>
    <xf numFmtId="0" fontId="25" fillId="0" borderId="21" xfId="0" applyFont="1" applyFill="1" applyBorder="1" applyAlignment="1" applyProtection="1">
      <alignment horizontal="center" vertical="center" wrapText="1"/>
    </xf>
    <xf numFmtId="0" fontId="25" fillId="0" borderId="5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60" xfId="0" applyFont="1" applyFill="1" applyBorder="1" applyAlignment="1">
      <alignment horizontal="center" vertical="center" wrapText="1"/>
    </xf>
    <xf numFmtId="0" fontId="7" fillId="3" borderId="32" xfId="0" applyFont="1" applyFill="1" applyBorder="1" applyAlignment="1">
      <alignment horizontal="left" vertical="center"/>
    </xf>
    <xf numFmtId="0" fontId="7" fillId="3" borderId="33" xfId="0" applyFont="1" applyFill="1" applyBorder="1" applyAlignment="1">
      <alignment horizontal="left" vertical="center"/>
    </xf>
    <xf numFmtId="0" fontId="7" fillId="3" borderId="30" xfId="0" applyFont="1" applyFill="1" applyBorder="1" applyAlignment="1">
      <alignment horizontal="left" vertical="center"/>
    </xf>
    <xf numFmtId="0" fontId="37" fillId="0" borderId="1" xfId="0" applyFont="1" applyFill="1" applyBorder="1" applyAlignment="1" applyProtection="1">
      <alignment horizontal="left" vertical="center" wrapText="1"/>
    </xf>
    <xf numFmtId="0" fontId="37" fillId="0" borderId="2" xfId="0" applyFont="1" applyFill="1" applyBorder="1" applyAlignment="1" applyProtection="1">
      <alignment horizontal="left" vertical="center" wrapText="1"/>
    </xf>
    <xf numFmtId="0" fontId="37" fillId="0" borderId="11" xfId="0" applyFont="1" applyFill="1" applyBorder="1" applyAlignment="1" applyProtection="1">
      <alignment horizontal="left" vertical="center" wrapText="1"/>
    </xf>
    <xf numFmtId="0" fontId="33" fillId="0" borderId="5"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xf>
    <xf numFmtId="0" fontId="33" fillId="0" borderId="6" xfId="0" applyFont="1" applyFill="1" applyBorder="1" applyAlignment="1" applyProtection="1">
      <alignment horizontal="left" vertical="center" wrapText="1"/>
    </xf>
    <xf numFmtId="0" fontId="7" fillId="0" borderId="20" xfId="0" applyFont="1" applyFill="1" applyBorder="1" applyAlignment="1">
      <alignment vertical="center" wrapText="1"/>
    </xf>
    <xf numFmtId="0" fontId="30" fillId="8" borderId="20" xfId="0" applyFont="1" applyFill="1" applyBorder="1" applyAlignment="1" applyProtection="1">
      <alignment horizontal="left" vertical="center" wrapText="1"/>
    </xf>
    <xf numFmtId="0" fontId="33" fillId="0" borderId="31" xfId="0" applyFont="1" applyFill="1" applyBorder="1" applyAlignment="1" applyProtection="1">
      <alignment horizontal="right" vertical="center" wrapText="1"/>
    </xf>
    <xf numFmtId="0" fontId="34" fillId="3" borderId="31" xfId="0" applyFont="1" applyFill="1" applyBorder="1" applyAlignment="1">
      <alignment horizontal="right" vertical="center" wrapText="1"/>
    </xf>
    <xf numFmtId="0" fontId="7" fillId="7" borderId="5"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30" fillId="0" borderId="15" xfId="0" applyFont="1" applyFill="1" applyBorder="1" applyAlignment="1" applyProtection="1">
      <alignment horizontal="left" vertical="center" wrapText="1"/>
    </xf>
    <xf numFmtId="0" fontId="30" fillId="0" borderId="16" xfId="0" applyFont="1" applyFill="1" applyBorder="1" applyAlignment="1" applyProtection="1">
      <alignment horizontal="left" vertical="center" wrapText="1"/>
    </xf>
    <xf numFmtId="0" fontId="30" fillId="0" borderId="17" xfId="0" applyFont="1" applyFill="1" applyBorder="1" applyAlignment="1" applyProtection="1">
      <alignment horizontal="left" vertical="center" wrapText="1"/>
    </xf>
    <xf numFmtId="0" fontId="31" fillId="3" borderId="57" xfId="0" applyFont="1" applyFill="1" applyBorder="1" applyAlignment="1">
      <alignment horizontal="center" vertical="center" wrapText="1"/>
    </xf>
    <xf numFmtId="0" fontId="31" fillId="3" borderId="54" xfId="0" applyFont="1" applyFill="1" applyBorder="1" applyAlignment="1">
      <alignment horizontal="center" vertical="center" wrapText="1"/>
    </xf>
    <xf numFmtId="0" fontId="31" fillId="3" borderId="55" xfId="0" applyFont="1" applyFill="1" applyBorder="1" applyAlignment="1">
      <alignment horizontal="center" vertical="center" wrapText="1"/>
    </xf>
    <xf numFmtId="0" fontId="31" fillId="3" borderId="56" xfId="0" applyFont="1" applyFill="1" applyBorder="1" applyAlignment="1">
      <alignment horizontal="center" vertical="center" wrapText="1"/>
    </xf>
    <xf numFmtId="0" fontId="7" fillId="0" borderId="4" xfId="0" applyFont="1" applyBorder="1" applyAlignment="1">
      <alignment horizontal="left" vertical="center" wrapText="1"/>
    </xf>
    <xf numFmtId="0" fontId="31" fillId="0" borderId="54" xfId="0" applyFont="1" applyBorder="1" applyAlignment="1">
      <alignment horizontal="center" wrapText="1"/>
    </xf>
    <xf numFmtId="0" fontId="31" fillId="0" borderId="41" xfId="0" applyFont="1" applyBorder="1" applyAlignment="1">
      <alignment horizontal="center" wrapText="1"/>
    </xf>
    <xf numFmtId="0" fontId="31" fillId="0" borderId="42" xfId="0" applyFont="1" applyBorder="1" applyAlignment="1">
      <alignment horizontal="center" wrapText="1"/>
    </xf>
    <xf numFmtId="0" fontId="7" fillId="2" borderId="20" xfId="0" applyFont="1" applyFill="1" applyBorder="1" applyAlignment="1">
      <alignment horizontal="left" vertical="center" wrapText="1"/>
    </xf>
    <xf numFmtId="0" fontId="30" fillId="8" borderId="40" xfId="0" applyFont="1" applyFill="1" applyBorder="1" applyAlignment="1" applyProtection="1">
      <alignment horizontal="left" vertical="center" wrapText="1"/>
    </xf>
    <xf numFmtId="0" fontId="30" fillId="8" borderId="41" xfId="0" applyFont="1" applyFill="1" applyBorder="1" applyAlignment="1" applyProtection="1">
      <alignment horizontal="left" vertical="center" wrapText="1"/>
    </xf>
    <xf numFmtId="0" fontId="30" fillId="8" borderId="42" xfId="0" applyFont="1" applyFill="1" applyBorder="1" applyAlignment="1" applyProtection="1">
      <alignment horizontal="left" vertical="center" wrapText="1"/>
    </xf>
    <xf numFmtId="0" fontId="33" fillId="0" borderId="3" xfId="0" applyFont="1" applyFill="1" applyBorder="1" applyAlignment="1" applyProtection="1">
      <alignment horizontal="left" vertical="center" wrapText="1"/>
    </xf>
    <xf numFmtId="0" fontId="33" fillId="0" borderId="4" xfId="0" applyFont="1" applyFill="1" applyBorder="1" applyAlignment="1" applyProtection="1">
      <alignment horizontal="left" vertical="center" wrapText="1"/>
    </xf>
    <xf numFmtId="0" fontId="33" fillId="0" borderId="14" xfId="0" applyFont="1" applyFill="1" applyBorder="1" applyAlignment="1" applyProtection="1">
      <alignment horizontal="left" vertical="center" wrapText="1"/>
    </xf>
    <xf numFmtId="0" fontId="37" fillId="0" borderId="15" xfId="0" applyFont="1" applyFill="1" applyBorder="1" applyAlignment="1" applyProtection="1">
      <alignment horizontal="left" vertical="center" wrapText="1"/>
    </xf>
    <xf numFmtId="0" fontId="37" fillId="0" borderId="16" xfId="0" applyFont="1" applyFill="1" applyBorder="1" applyAlignment="1" applyProtection="1">
      <alignment horizontal="left" vertical="center" wrapText="1"/>
    </xf>
    <xf numFmtId="0" fontId="37" fillId="0" borderId="17" xfId="0" applyFont="1" applyFill="1" applyBorder="1" applyAlignment="1" applyProtection="1">
      <alignment horizontal="left" vertical="center" wrapText="1"/>
    </xf>
    <xf numFmtId="0" fontId="37" fillId="0" borderId="15" xfId="0" applyNumberFormat="1" applyFont="1" applyFill="1" applyBorder="1" applyAlignment="1" applyProtection="1">
      <alignment horizontal="left" vertical="center" wrapText="1"/>
    </xf>
    <xf numFmtId="0" fontId="30" fillId="0" borderId="16" xfId="0" applyNumberFormat="1" applyFont="1" applyFill="1" applyBorder="1" applyAlignment="1" applyProtection="1">
      <alignment horizontal="left" vertical="center" wrapText="1"/>
    </xf>
    <xf numFmtId="0" fontId="30" fillId="0" borderId="17" xfId="0" applyNumberFormat="1" applyFont="1" applyFill="1" applyBorder="1" applyAlignment="1" applyProtection="1">
      <alignment horizontal="left" vertical="center" wrapText="1"/>
    </xf>
    <xf numFmtId="0" fontId="25" fillId="0" borderId="15" xfId="0" applyFont="1" applyFill="1" applyBorder="1" applyAlignment="1" applyProtection="1">
      <alignment horizontal="left" vertical="center" wrapText="1"/>
    </xf>
    <xf numFmtId="0" fontId="25" fillId="0" borderId="16"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31" fillId="0" borderId="0" xfId="0" applyFont="1" applyFill="1" applyBorder="1" applyAlignment="1">
      <alignment vertical="center" wrapText="1"/>
    </xf>
    <xf numFmtId="0" fontId="7" fillId="3" borderId="5" xfId="0" applyFont="1" applyFill="1" applyBorder="1" applyAlignment="1">
      <alignment horizontal="left" vertical="center"/>
    </xf>
    <xf numFmtId="0" fontId="7" fillId="3" borderId="7" xfId="0" applyFont="1" applyFill="1" applyBorder="1" applyAlignment="1">
      <alignment horizontal="left" vertical="center"/>
    </xf>
    <xf numFmtId="0" fontId="7" fillId="3" borderId="6"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wrapText="1"/>
    </xf>
    <xf numFmtId="0" fontId="7" fillId="0" borderId="38" xfId="0" applyFont="1" applyBorder="1" applyAlignment="1">
      <alignment horizontal="left" vertical="center" wrapText="1"/>
    </xf>
    <xf numFmtId="0" fontId="31" fillId="0" borderId="0" xfId="0" applyFont="1" applyFill="1" applyAlignment="1">
      <alignment horizontal="center" vertical="center" wrapText="1"/>
    </xf>
    <xf numFmtId="0" fontId="30" fillId="0" borderId="1" xfId="0" applyFont="1" applyFill="1" applyBorder="1" applyAlignment="1" applyProtection="1">
      <alignment horizontal="left" vertical="center" wrapText="1"/>
    </xf>
    <xf numFmtId="0" fontId="30" fillId="0" borderId="2" xfId="0" applyFont="1" applyFill="1" applyBorder="1" applyAlignment="1" applyProtection="1">
      <alignment horizontal="left" vertical="center" wrapText="1"/>
    </xf>
    <xf numFmtId="0" fontId="30" fillId="0" borderId="11" xfId="0" applyFont="1" applyFill="1" applyBorder="1" applyAlignment="1" applyProtection="1">
      <alignment horizontal="left" vertical="center" wrapText="1"/>
    </xf>
    <xf numFmtId="0" fontId="31" fillId="0" borderId="38" xfId="0" applyFont="1" applyBorder="1" applyAlignment="1">
      <alignment horizontal="center" vertical="center" wrapText="1"/>
    </xf>
    <xf numFmtId="0" fontId="31" fillId="0" borderId="20" xfId="0" applyFont="1" applyBorder="1" applyAlignment="1">
      <alignment horizontal="center" wrapText="1"/>
    </xf>
    <xf numFmtId="0" fontId="32" fillId="0" borderId="9" xfId="0" applyFont="1" applyBorder="1" applyAlignment="1">
      <alignment vertical="top" wrapText="1"/>
    </xf>
    <xf numFmtId="0" fontId="31" fillId="0" borderId="8" xfId="0" applyFont="1" applyFill="1" applyBorder="1" applyAlignment="1" applyProtection="1">
      <alignment horizontal="left" vertical="center" wrapText="1"/>
    </xf>
    <xf numFmtId="0" fontId="7" fillId="0" borderId="0" xfId="0" applyFont="1" applyAlignment="1">
      <alignment wrapText="1"/>
    </xf>
    <xf numFmtId="0" fontId="31" fillId="0" borderId="8" xfId="0" applyFont="1" applyBorder="1" applyAlignment="1">
      <alignment horizontal="center" vertical="center" wrapText="1"/>
    </xf>
    <xf numFmtId="0" fontId="7" fillId="0" borderId="4" xfId="0" applyFont="1" applyBorder="1" applyAlignment="1">
      <alignment horizontal="left" wrapText="1"/>
    </xf>
    <xf numFmtId="0" fontId="7" fillId="0" borderId="4" xfId="0" applyFont="1" applyBorder="1" applyAlignment="1">
      <alignment wrapText="1"/>
    </xf>
    <xf numFmtId="0" fontId="31" fillId="3" borderId="32" xfId="0" applyFont="1" applyFill="1" applyBorder="1" applyAlignment="1" applyProtection="1">
      <alignment horizontal="center" vertical="center" wrapText="1"/>
    </xf>
    <xf numFmtId="0" fontId="31" fillId="3" borderId="33" xfId="0" applyFont="1" applyFill="1" applyBorder="1" applyAlignment="1" applyProtection="1">
      <alignment horizontal="center" vertical="center" wrapText="1"/>
    </xf>
    <xf numFmtId="0" fontId="31" fillId="3" borderId="30" xfId="0" applyFont="1" applyFill="1" applyBorder="1" applyAlignment="1" applyProtection="1">
      <alignment horizontal="center" vertical="center" wrapText="1"/>
    </xf>
    <xf numFmtId="0" fontId="25" fillId="3" borderId="57" xfId="0" applyFont="1" applyFill="1" applyBorder="1" applyAlignment="1">
      <alignment horizontal="center" vertical="center" wrapText="1"/>
    </xf>
    <xf numFmtId="0" fontId="25" fillId="13" borderId="57" xfId="0" applyFont="1" applyFill="1" applyBorder="1" applyAlignment="1">
      <alignment horizontal="center" vertical="center" wrapText="1"/>
    </xf>
    <xf numFmtId="0" fontId="30" fillId="8" borderId="57" xfId="0" applyFont="1" applyFill="1" applyBorder="1" applyAlignment="1" applyProtection="1">
      <alignment horizontal="left" vertical="center" wrapText="1"/>
    </xf>
    <xf numFmtId="0" fontId="0" fillId="0" borderId="0" xfId="0" applyBorder="1" applyAlignment="1">
      <alignment horizontal="center" wrapText="1"/>
    </xf>
    <xf numFmtId="164" fontId="29" fillId="7" borderId="31" xfId="0" applyNumberFormat="1" applyFont="1" applyFill="1" applyBorder="1" applyAlignment="1" applyProtection="1">
      <alignment horizontal="center" vertical="center" wrapText="1"/>
    </xf>
    <xf numFmtId="164" fontId="31" fillId="3" borderId="31" xfId="0" applyNumberFormat="1" applyFont="1" applyFill="1" applyBorder="1" applyAlignment="1" applyProtection="1">
      <alignment horizontal="center" vertical="center" wrapText="1"/>
    </xf>
    <xf numFmtId="2" fontId="29" fillId="7" borderId="31" xfId="0" applyNumberFormat="1" applyFont="1" applyFill="1" applyBorder="1" applyAlignment="1" applyProtection="1">
      <alignment horizontal="center" vertical="center" wrapText="1"/>
    </xf>
    <xf numFmtId="0" fontId="31" fillId="12" borderId="31" xfId="0" applyFont="1" applyFill="1" applyBorder="1" applyAlignment="1">
      <alignment horizontal="center" vertical="center" wrapText="1"/>
    </xf>
    <xf numFmtId="9" fontId="7" fillId="3" borderId="31" xfId="3" applyFont="1" applyFill="1" applyBorder="1" applyAlignment="1">
      <alignment horizontal="center" vertical="center" wrapText="1"/>
    </xf>
    <xf numFmtId="0" fontId="28" fillId="18" borderId="58" xfId="0" applyFont="1" applyFill="1" applyBorder="1" applyAlignment="1">
      <alignment horizontal="left" vertical="top" wrapText="1"/>
    </xf>
    <xf numFmtId="0" fontId="28" fillId="18" borderId="59" xfId="0" applyFont="1" applyFill="1" applyBorder="1" applyAlignment="1">
      <alignment horizontal="left" vertical="top" wrapText="1"/>
    </xf>
    <xf numFmtId="0" fontId="28" fillId="18" borderId="60" xfId="0" applyFont="1" applyFill="1" applyBorder="1" applyAlignment="1">
      <alignment horizontal="left" vertical="top" wrapText="1"/>
    </xf>
    <xf numFmtId="0" fontId="28" fillId="18" borderId="61" xfId="0" applyFont="1" applyFill="1" applyBorder="1" applyAlignment="1">
      <alignment horizontal="left" vertical="top" wrapText="1"/>
    </xf>
    <xf numFmtId="0" fontId="28" fillId="18" borderId="0" xfId="0" applyFont="1" applyFill="1" applyBorder="1" applyAlignment="1">
      <alignment horizontal="left" vertical="top" wrapText="1"/>
    </xf>
    <xf numFmtId="0" fontId="28" fillId="18" borderId="10" xfId="0" applyFont="1" applyFill="1" applyBorder="1" applyAlignment="1">
      <alignment horizontal="left" vertical="top" wrapText="1"/>
    </xf>
    <xf numFmtId="0" fontId="28" fillId="18" borderId="3" xfId="0" applyFont="1" applyFill="1" applyBorder="1" applyAlignment="1">
      <alignment horizontal="left" vertical="top" wrapText="1"/>
    </xf>
    <xf numFmtId="0" fontId="28" fillId="18" borderId="4" xfId="0" applyFont="1" applyFill="1" applyBorder="1" applyAlignment="1">
      <alignment horizontal="left" vertical="top" wrapText="1"/>
    </xf>
    <xf numFmtId="0" fontId="28" fillId="18" borderId="14" xfId="0" applyFont="1" applyFill="1" applyBorder="1" applyAlignment="1">
      <alignment horizontal="left" vertical="top" wrapText="1"/>
    </xf>
    <xf numFmtId="0" fontId="30" fillId="8" borderId="32" xfId="0" applyFont="1" applyFill="1" applyBorder="1" applyAlignment="1" applyProtection="1">
      <alignment horizontal="left" vertical="center" wrapText="1"/>
    </xf>
    <xf numFmtId="0" fontId="30" fillId="8" borderId="33" xfId="0" applyFont="1" applyFill="1" applyBorder="1" applyAlignment="1" applyProtection="1">
      <alignment horizontal="left" vertical="center" wrapText="1"/>
    </xf>
    <xf numFmtId="0" fontId="30" fillId="8" borderId="4" xfId="0" applyFont="1" applyFill="1" applyBorder="1" applyAlignment="1" applyProtection="1">
      <alignment horizontal="left" vertical="center" wrapText="1"/>
    </xf>
    <xf numFmtId="0" fontId="25" fillId="11" borderId="31" xfId="0" applyFont="1" applyFill="1" applyBorder="1" applyAlignment="1">
      <alignment horizontal="left" vertical="center" wrapText="1"/>
    </xf>
    <xf numFmtId="0" fontId="29" fillId="7" borderId="31" xfId="0" applyFont="1" applyFill="1" applyBorder="1" applyAlignment="1" applyProtection="1">
      <alignment horizontal="center" vertical="center" wrapText="1"/>
    </xf>
    <xf numFmtId="0" fontId="31" fillId="3" borderId="31" xfId="0" applyFont="1" applyFill="1" applyBorder="1" applyAlignment="1" applyProtection="1">
      <alignment horizontal="center" vertical="center" wrapText="1"/>
    </xf>
    <xf numFmtId="0" fontId="29" fillId="7" borderId="32" xfId="0" applyFont="1" applyFill="1" applyBorder="1" applyAlignment="1" applyProtection="1">
      <alignment horizontal="center" vertical="center" wrapText="1"/>
    </xf>
    <xf numFmtId="0" fontId="29" fillId="7" borderId="30" xfId="0" applyFont="1" applyFill="1" applyBorder="1" applyAlignment="1" applyProtection="1">
      <alignment horizontal="center" vertical="center" wrapText="1"/>
    </xf>
    <xf numFmtId="0" fontId="29" fillId="7" borderId="33" xfId="0" applyFont="1" applyFill="1" applyBorder="1" applyAlignment="1" applyProtection="1">
      <alignment horizontal="center" vertical="center" wrapText="1"/>
    </xf>
    <xf numFmtId="0" fontId="31" fillId="4" borderId="5" xfId="0" applyFont="1" applyFill="1" applyBorder="1" applyAlignment="1">
      <alignment vertical="center" wrapText="1"/>
    </xf>
    <xf numFmtId="0" fontId="31" fillId="4" borderId="7" xfId="0" applyFont="1" applyFill="1" applyBorder="1" applyAlignment="1">
      <alignment vertical="center" wrapText="1"/>
    </xf>
    <xf numFmtId="0" fontId="31" fillId="4" borderId="6" xfId="0" applyFont="1" applyFill="1" applyBorder="1" applyAlignment="1">
      <alignment vertical="center" wrapText="1"/>
    </xf>
    <xf numFmtId="0" fontId="7" fillId="4" borderId="54" xfId="0" applyFont="1" applyFill="1" applyBorder="1" applyAlignment="1">
      <alignment horizontal="center"/>
    </xf>
    <xf numFmtId="0" fontId="7" fillId="4" borderId="56" xfId="0" applyFont="1" applyFill="1" applyBorder="1" applyAlignment="1">
      <alignment horizontal="center"/>
    </xf>
    <xf numFmtId="0" fontId="31" fillId="4" borderId="54" xfId="0" applyFont="1" applyFill="1" applyBorder="1" applyAlignment="1">
      <alignment horizontal="center"/>
    </xf>
    <xf numFmtId="0" fontId="31" fillId="4" borderId="56" xfId="0" applyFont="1" applyFill="1" applyBorder="1" applyAlignment="1">
      <alignment horizontal="center"/>
    </xf>
    <xf numFmtId="0" fontId="31" fillId="4" borderId="54" xfId="0" applyFont="1" applyFill="1" applyBorder="1" applyAlignment="1">
      <alignment horizontal="center" vertical="center"/>
    </xf>
    <xf numFmtId="0" fontId="31" fillId="4" borderId="55" xfId="0" applyFont="1" applyFill="1" applyBorder="1" applyAlignment="1">
      <alignment horizontal="center" vertical="center"/>
    </xf>
    <xf numFmtId="0" fontId="31" fillId="4" borderId="56" xfId="0" applyFont="1" applyFill="1" applyBorder="1" applyAlignment="1">
      <alignment horizontal="center" vertical="center"/>
    </xf>
    <xf numFmtId="0" fontId="34" fillId="3" borderId="54" xfId="0" applyFont="1" applyFill="1" applyBorder="1" applyAlignment="1">
      <alignment horizontal="center" vertical="center" wrapText="1"/>
    </xf>
    <xf numFmtId="0" fontId="34" fillId="3" borderId="55" xfId="0" applyFont="1" applyFill="1" applyBorder="1" applyAlignment="1">
      <alignment horizontal="center" vertical="center" wrapText="1"/>
    </xf>
    <xf numFmtId="0" fontId="34" fillId="3" borderId="56" xfId="0" applyFont="1" applyFill="1" applyBorder="1" applyAlignment="1">
      <alignment horizontal="center" vertical="center" wrapText="1"/>
    </xf>
    <xf numFmtId="0" fontId="7" fillId="7" borderId="57" xfId="0" applyFont="1" applyFill="1" applyBorder="1" applyAlignment="1">
      <alignment horizontal="left" vertical="center" wrapText="1"/>
    </xf>
    <xf numFmtId="0" fontId="25" fillId="3" borderId="54" xfId="0" applyFont="1" applyFill="1" applyBorder="1" applyAlignment="1" applyProtection="1">
      <alignment horizontal="center" vertical="center" wrapText="1"/>
    </xf>
    <xf numFmtId="0" fontId="25" fillId="3" borderId="55" xfId="0" applyFont="1" applyFill="1" applyBorder="1" applyAlignment="1" applyProtection="1">
      <alignment horizontal="center" vertical="center" wrapText="1"/>
    </xf>
    <xf numFmtId="0" fontId="25" fillId="3" borderId="56" xfId="0" applyFont="1" applyFill="1" applyBorder="1" applyAlignment="1" applyProtection="1">
      <alignment horizontal="center" vertical="center" wrapText="1"/>
    </xf>
    <xf numFmtId="0" fontId="7" fillId="13" borderId="57" xfId="0" applyFont="1" applyFill="1" applyBorder="1" applyAlignment="1">
      <alignment horizontal="center" vertical="center" wrapText="1"/>
    </xf>
    <xf numFmtId="0" fontId="7" fillId="3" borderId="6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32" fillId="0" borderId="9" xfId="0" applyFont="1" applyBorder="1" applyAlignment="1">
      <alignment horizontal="left" vertical="top" wrapText="1"/>
    </xf>
    <xf numFmtId="0" fontId="0" fillId="0" borderId="13" xfId="0" applyFont="1" applyBorder="1" applyAlignment="1">
      <alignment vertical="top" wrapText="1"/>
    </xf>
    <xf numFmtId="0" fontId="7" fillId="14" borderId="31" xfId="0" applyFont="1" applyFill="1" applyBorder="1" applyAlignment="1">
      <alignment horizontal="left" vertical="center"/>
    </xf>
    <xf numFmtId="0" fontId="31" fillId="3" borderId="31" xfId="0" applyFont="1" applyFill="1" applyBorder="1" applyAlignment="1">
      <alignment horizontal="center" vertical="center" wrapText="1"/>
    </xf>
    <xf numFmtId="3" fontId="0" fillId="0" borderId="9" xfId="0" applyNumberFormat="1" applyBorder="1" applyAlignment="1">
      <alignment vertical="center" wrapText="1"/>
    </xf>
    <xf numFmtId="3" fontId="0" fillId="0" borderId="0" xfId="0" applyNumberFormat="1" applyBorder="1" applyAlignment="1">
      <alignment vertical="center" wrapText="1"/>
    </xf>
    <xf numFmtId="0" fontId="6" fillId="0" borderId="0" xfId="0" applyFont="1" applyAlignment="1">
      <alignment horizontal="left" vertical="center" wrapText="1"/>
    </xf>
    <xf numFmtId="0" fontId="7" fillId="0" borderId="32" xfId="0" applyFont="1" applyBorder="1" applyAlignment="1">
      <alignment horizontal="center"/>
    </xf>
    <xf numFmtId="0" fontId="7" fillId="0" borderId="30" xfId="0" applyFont="1" applyBorder="1" applyAlignment="1">
      <alignment horizontal="center"/>
    </xf>
    <xf numFmtId="0" fontId="31" fillId="0" borderId="31" xfId="0" applyFont="1" applyBorder="1" applyAlignment="1">
      <alignment horizontal="center"/>
    </xf>
    <xf numFmtId="0" fontId="31" fillId="0" borderId="32" xfId="0" applyFont="1" applyBorder="1" applyAlignment="1">
      <alignment horizontal="left"/>
    </xf>
    <xf numFmtId="0" fontId="31" fillId="0" borderId="30" xfId="0" applyFont="1" applyBorder="1" applyAlignment="1">
      <alignment horizontal="left"/>
    </xf>
    <xf numFmtId="0" fontId="31" fillId="0" borderId="39" xfId="0" applyFont="1" applyBorder="1" applyAlignment="1">
      <alignment horizontal="center"/>
    </xf>
    <xf numFmtId="0" fontId="31" fillId="0" borderId="32" xfId="0" applyFont="1" applyBorder="1" applyAlignment="1">
      <alignment horizontal="center"/>
    </xf>
    <xf numFmtId="0" fontId="31" fillId="0" borderId="30" xfId="0" applyFont="1" applyBorder="1" applyAlignment="1">
      <alignment horizontal="center"/>
    </xf>
    <xf numFmtId="0" fontId="33" fillId="0" borderId="0" xfId="0" applyFont="1" applyFill="1" applyBorder="1" applyAlignment="1" applyProtection="1">
      <alignment horizontal="left" vertical="center" wrapText="1"/>
    </xf>
    <xf numFmtId="0" fontId="7" fillId="0" borderId="32" xfId="0" applyFont="1" applyBorder="1" applyAlignment="1">
      <alignment horizontal="center" wrapText="1"/>
    </xf>
    <xf numFmtId="0" fontId="7" fillId="0" borderId="30" xfId="0" applyFont="1" applyBorder="1" applyAlignment="1">
      <alignment horizontal="center" wrapText="1"/>
    </xf>
  </cellXfs>
  <cellStyles count="4">
    <cellStyle name="Comma" xfId="2" builtinId="3"/>
    <cellStyle name="Hyperlink" xfId="1" builtinId="8"/>
    <cellStyle name="Normal" xfId="0" builtinId="0"/>
    <cellStyle name="Percent" xfId="3" builtinId="5"/>
  </cellStyles>
  <dxfs count="2">
    <dxf>
      <font>
        <color theme="0"/>
      </font>
      <fill>
        <patternFill patternType="none">
          <bgColor auto="1"/>
        </patternFill>
      </fill>
    </dxf>
    <dxf>
      <font>
        <color auto="1"/>
      </font>
      <fill>
        <patternFill>
          <bgColor rgb="FFFF0000"/>
        </patternFill>
      </fill>
    </dxf>
  </dxfs>
  <tableStyles count="0" defaultTableStyle="TableStyleMedium2" defaultPivotStyle="PivotStyleLight16"/>
  <colors>
    <mruColors>
      <color rgb="FF9BBB59"/>
      <color rgb="FF33CC33"/>
      <color rgb="FFFFCCFF"/>
      <color rgb="FFFF99FF"/>
      <color rgb="FF00FF00"/>
      <color rgb="FFFF3399"/>
      <color rgb="FFFF0066"/>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hyperlink" Target="http://www.deq.state.or.us/wq/assessment/rpt2010/search.asp" TargetMode="External"/><Relationship Id="rId3" Type="http://schemas.openxmlformats.org/officeDocument/2006/relationships/hyperlink" Target="http://www.dfw.state.or.us/wildlife/diversity/species/sensitive_species.asp" TargetMode="External"/><Relationship Id="rId7" Type="http://schemas.openxmlformats.org/officeDocument/2006/relationships/hyperlink" Target="http://oregonstate.edu/inr/ilap" TargetMode="External"/><Relationship Id="rId2" Type="http://schemas.openxmlformats.org/officeDocument/2006/relationships/hyperlink" Target="http://www.dfw.state.or.us/wildlife/diversity/species/threatened_endangered_candidate_list.asp" TargetMode="External"/><Relationship Id="rId1" Type="http://schemas.openxmlformats.org/officeDocument/2006/relationships/hyperlink" Target="http://www.dfw.state.or.us/wildlife/diversity/species/threatened_endangered_candidate_list.asp" TargetMode="External"/><Relationship Id="rId6" Type="http://schemas.openxmlformats.org/officeDocument/2006/relationships/hyperlink" Target="http://chetco-new.dsl.state.or.us/esh/index.html" TargetMode="External"/><Relationship Id="rId5" Type="http://schemas.openxmlformats.org/officeDocument/2006/relationships/hyperlink" Target="http://nas.er.usgs.gov/" TargetMode="External"/><Relationship Id="rId4" Type="http://schemas.openxmlformats.org/officeDocument/2006/relationships/hyperlink" Target="http://www.oregon.gov/dsl/PERMITS/Pages/esshabitat.aspx" TargetMode="External"/><Relationship Id="rId9"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oregonstate.edu/dept/ODFW/freshwater/inventory/habratereg.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zoomScaleNormal="100" workbookViewId="0">
      <selection activeCell="B2" sqref="B2:J2"/>
    </sheetView>
  </sheetViews>
  <sheetFormatPr defaultRowHeight="14.4" x14ac:dyDescent="0.3"/>
  <cols>
    <col min="1" max="1" width="3.88671875" style="17" customWidth="1"/>
    <col min="2" max="2" width="21.33203125" style="1" customWidth="1"/>
    <col min="5" max="5" width="5.44140625" customWidth="1"/>
    <col min="6" max="6" width="18" customWidth="1"/>
    <col min="7" max="7" width="5.33203125" customWidth="1"/>
    <col min="8" max="8" width="17.88671875" customWidth="1"/>
    <col min="10" max="10" width="19.109375" customWidth="1"/>
  </cols>
  <sheetData>
    <row r="1" spans="2:11" x14ac:dyDescent="0.3">
      <c r="B1" s="260"/>
      <c r="C1" s="17"/>
      <c r="D1" s="17"/>
      <c r="E1" s="17"/>
      <c r="F1" s="17"/>
      <c r="G1" s="17"/>
      <c r="H1" s="17"/>
      <c r="I1" s="17"/>
      <c r="J1" s="17"/>
      <c r="K1" s="17"/>
    </row>
    <row r="2" spans="2:11" ht="20.100000000000001" customHeight="1" x14ac:dyDescent="0.35">
      <c r="B2" s="362" t="s">
        <v>227</v>
      </c>
      <c r="C2" s="362"/>
      <c r="D2" s="362"/>
      <c r="E2" s="261"/>
      <c r="F2" s="361" t="s">
        <v>413</v>
      </c>
      <c r="G2" s="361"/>
      <c r="I2" s="261"/>
      <c r="J2" s="263" t="s">
        <v>414</v>
      </c>
      <c r="K2" s="17"/>
    </row>
    <row r="3" spans="2:11" s="17" customFormat="1" x14ac:dyDescent="0.3">
      <c r="B3" s="260"/>
    </row>
    <row r="4" spans="2:11" s="17" customFormat="1" ht="59.25" customHeight="1" x14ac:dyDescent="0.35">
      <c r="B4" s="363" t="s">
        <v>411</v>
      </c>
      <c r="C4" s="363"/>
      <c r="D4" s="363"/>
      <c r="E4" s="363"/>
      <c r="F4" s="363"/>
      <c r="G4" s="363"/>
      <c r="H4" s="363"/>
      <c r="I4" s="363"/>
      <c r="J4" s="363"/>
      <c r="K4" s="264"/>
    </row>
    <row r="5" spans="2:11" s="17" customFormat="1" x14ac:dyDescent="0.3">
      <c r="B5" s="260"/>
    </row>
    <row r="6" spans="2:11" ht="15.6" x14ac:dyDescent="0.3">
      <c r="B6" s="357" t="s">
        <v>319</v>
      </c>
      <c r="C6" s="358"/>
      <c r="D6" s="358"/>
      <c r="E6" s="358"/>
      <c r="F6" s="358"/>
      <c r="G6" s="358"/>
      <c r="H6" s="358"/>
      <c r="I6" s="358"/>
      <c r="J6" s="359"/>
      <c r="K6" s="17"/>
    </row>
    <row r="7" spans="2:11" x14ac:dyDescent="0.3">
      <c r="B7" s="265" t="s">
        <v>320</v>
      </c>
      <c r="C7" s="17"/>
      <c r="D7" s="17"/>
      <c r="E7" s="17"/>
      <c r="F7" s="17"/>
      <c r="G7" s="17"/>
      <c r="H7" s="17"/>
      <c r="I7" s="17"/>
      <c r="J7" s="17"/>
      <c r="K7" s="17"/>
    </row>
    <row r="8" spans="2:11" s="17" customFormat="1" x14ac:dyDescent="0.3">
      <c r="B8" s="265"/>
    </row>
    <row r="9" spans="2:11" s="17" customFormat="1" ht="15" customHeight="1" x14ac:dyDescent="0.3">
      <c r="B9" s="360" t="s">
        <v>226</v>
      </c>
      <c r="C9" s="360"/>
      <c r="D9" s="360"/>
      <c r="E9" s="360"/>
      <c r="F9" s="360"/>
      <c r="G9" s="360"/>
      <c r="H9" s="360"/>
      <c r="I9" s="360"/>
      <c r="J9" s="360"/>
      <c r="K9" s="262"/>
    </row>
    <row r="10" spans="2:11" s="17" customFormat="1" x14ac:dyDescent="0.3">
      <c r="B10" s="260"/>
      <c r="C10" s="68" t="s">
        <v>88</v>
      </c>
      <c r="D10" s="266"/>
      <c r="E10" s="260"/>
      <c r="F10" s="68" t="s">
        <v>167</v>
      </c>
      <c r="G10" s="267"/>
      <c r="H10" s="260"/>
      <c r="I10" s="260"/>
      <c r="J10" s="260"/>
      <c r="K10" s="260"/>
    </row>
    <row r="11" spans="2:11" x14ac:dyDescent="0.3">
      <c r="B11" s="260"/>
      <c r="C11" s="17"/>
      <c r="D11" s="17"/>
      <c r="E11" s="17"/>
      <c r="F11" s="17"/>
      <c r="G11" s="17"/>
      <c r="H11" s="17"/>
      <c r="I11" s="17"/>
      <c r="J11" s="17"/>
      <c r="K11" s="17"/>
    </row>
    <row r="12" spans="2:11" ht="80.099999999999994" customHeight="1" x14ac:dyDescent="0.3">
      <c r="B12" s="360" t="s">
        <v>321</v>
      </c>
      <c r="C12" s="360"/>
      <c r="D12" s="360"/>
      <c r="E12" s="360"/>
      <c r="F12" s="360"/>
      <c r="G12" s="360"/>
      <c r="H12" s="360"/>
      <c r="I12" s="360"/>
      <c r="J12" s="360"/>
      <c r="K12" s="260"/>
    </row>
    <row r="13" spans="2:11" s="17" customFormat="1" x14ac:dyDescent="0.3">
      <c r="B13" s="262"/>
    </row>
    <row r="14" spans="2:11" s="17" customFormat="1" ht="30" customHeight="1" x14ac:dyDescent="0.3">
      <c r="B14" s="360" t="s">
        <v>397</v>
      </c>
      <c r="C14" s="360"/>
      <c r="D14" s="360"/>
      <c r="E14" s="360"/>
      <c r="F14" s="360"/>
      <c r="G14" s="360"/>
      <c r="H14" s="360"/>
      <c r="I14" s="360"/>
      <c r="J14" s="360"/>
    </row>
    <row r="15" spans="2:11" x14ac:dyDescent="0.3">
      <c r="B15" s="260"/>
      <c r="C15" s="17"/>
      <c r="D15" s="17"/>
      <c r="E15" s="17"/>
      <c r="F15" s="17"/>
      <c r="G15" s="17"/>
      <c r="H15" s="17"/>
      <c r="I15" s="17"/>
      <c r="J15" s="17"/>
      <c r="K15" s="17"/>
    </row>
    <row r="16" spans="2:11" ht="15.6" x14ac:dyDescent="0.3">
      <c r="B16" s="357" t="s">
        <v>322</v>
      </c>
      <c r="C16" s="358"/>
      <c r="D16" s="358"/>
      <c r="E16" s="358"/>
      <c r="F16" s="358"/>
      <c r="G16" s="358"/>
      <c r="H16" s="358"/>
      <c r="I16" s="358"/>
      <c r="J16" s="359"/>
      <c r="K16" s="17"/>
    </row>
    <row r="17" spans="2:11" x14ac:dyDescent="0.3">
      <c r="B17" s="268" t="s">
        <v>252</v>
      </c>
      <c r="C17" s="17" t="s">
        <v>323</v>
      </c>
      <c r="D17" s="17"/>
      <c r="E17" s="17"/>
      <c r="F17" s="17"/>
      <c r="G17" s="17"/>
      <c r="H17" s="17"/>
      <c r="I17" s="17"/>
      <c r="J17" s="17"/>
      <c r="K17" s="17"/>
    </row>
    <row r="18" spans="2:11" x14ac:dyDescent="0.3">
      <c r="B18" s="268" t="s">
        <v>324</v>
      </c>
      <c r="C18" s="17" t="s">
        <v>325</v>
      </c>
      <c r="D18" s="17"/>
      <c r="E18" s="17"/>
      <c r="F18" s="17"/>
      <c r="G18" s="17"/>
      <c r="H18" s="17"/>
      <c r="I18" s="17"/>
      <c r="J18" s="17"/>
      <c r="K18" s="17"/>
    </row>
    <row r="19" spans="2:11" x14ac:dyDescent="0.3">
      <c r="B19" s="268" t="s">
        <v>326</v>
      </c>
      <c r="C19" s="17" t="s">
        <v>327</v>
      </c>
      <c r="D19" s="17"/>
      <c r="E19" s="17"/>
      <c r="F19" s="17"/>
      <c r="G19" s="17"/>
      <c r="H19" s="17"/>
      <c r="I19" s="17"/>
      <c r="J19" s="17"/>
      <c r="K19" s="17"/>
    </row>
    <row r="20" spans="2:11" x14ac:dyDescent="0.3">
      <c r="B20" s="268" t="s">
        <v>328</v>
      </c>
      <c r="C20" s="17" t="s">
        <v>329</v>
      </c>
      <c r="D20" s="17"/>
      <c r="E20" s="17"/>
      <c r="F20" s="17"/>
      <c r="G20" s="17"/>
      <c r="H20" s="17"/>
      <c r="I20" s="17"/>
      <c r="J20" s="17"/>
      <c r="K20" s="17"/>
    </row>
    <row r="21" spans="2:11" x14ac:dyDescent="0.3">
      <c r="B21" s="268" t="s">
        <v>330</v>
      </c>
      <c r="C21" s="17" t="s">
        <v>331</v>
      </c>
      <c r="D21" s="17"/>
      <c r="E21" s="17"/>
      <c r="F21" s="17"/>
      <c r="G21" s="17"/>
      <c r="H21" s="17"/>
      <c r="I21" s="17"/>
      <c r="J21" s="17"/>
      <c r="K21" s="17"/>
    </row>
    <row r="22" spans="2:11" x14ac:dyDescent="0.3">
      <c r="B22" s="268" t="s">
        <v>332</v>
      </c>
      <c r="C22" s="17" t="s">
        <v>333</v>
      </c>
      <c r="D22" s="17"/>
      <c r="E22" s="17"/>
      <c r="F22" s="17"/>
      <c r="G22" s="17"/>
      <c r="H22" s="17"/>
      <c r="I22" s="17"/>
      <c r="J22" s="17"/>
      <c r="K22" s="17"/>
    </row>
    <row r="23" spans="2:11" x14ac:dyDescent="0.3">
      <c r="B23" s="268" t="s">
        <v>3</v>
      </c>
      <c r="C23" s="17" t="s">
        <v>334</v>
      </c>
      <c r="D23" s="17"/>
      <c r="E23" s="17"/>
      <c r="F23" s="17"/>
      <c r="G23" s="17"/>
      <c r="H23" s="17"/>
      <c r="I23" s="17"/>
      <c r="J23" s="17"/>
      <c r="K23" s="17"/>
    </row>
    <row r="24" spans="2:11" x14ac:dyDescent="0.3">
      <c r="B24" s="268" t="s">
        <v>335</v>
      </c>
      <c r="C24" s="17" t="s">
        <v>336</v>
      </c>
      <c r="D24" s="17"/>
      <c r="E24" s="17"/>
      <c r="F24" s="17"/>
      <c r="G24" s="17"/>
      <c r="H24" s="17"/>
      <c r="I24" s="17"/>
      <c r="J24" s="17"/>
      <c r="K24" s="17"/>
    </row>
    <row r="25" spans="2:11" x14ac:dyDescent="0.3">
      <c r="B25" s="268" t="s">
        <v>337</v>
      </c>
      <c r="C25" s="17" t="s">
        <v>338</v>
      </c>
      <c r="D25" s="17"/>
      <c r="E25" s="17"/>
      <c r="F25" s="17"/>
      <c r="G25" s="17"/>
      <c r="H25" s="17"/>
      <c r="I25" s="17"/>
      <c r="J25" s="17"/>
      <c r="K25" s="17"/>
    </row>
    <row r="26" spans="2:11" ht="15" thickBot="1" x14ac:dyDescent="0.35">
      <c r="B26" s="260"/>
      <c r="C26" s="17"/>
      <c r="D26" s="17"/>
      <c r="E26" s="17"/>
      <c r="F26" s="17"/>
      <c r="G26" s="17"/>
      <c r="H26" s="17"/>
      <c r="I26" s="17"/>
      <c r="J26" s="17"/>
      <c r="K26" s="17"/>
    </row>
    <row r="27" spans="2:11" ht="16.2" thickBot="1" x14ac:dyDescent="0.35">
      <c r="B27" s="352" t="s">
        <v>256</v>
      </c>
      <c r="C27" s="353"/>
      <c r="D27" s="353"/>
      <c r="E27" s="353"/>
      <c r="F27" s="353"/>
      <c r="G27" s="353"/>
      <c r="H27" s="353"/>
      <c r="I27" s="353"/>
      <c r="J27" s="354"/>
      <c r="K27" s="17"/>
    </row>
    <row r="28" spans="2:11" ht="30" customHeight="1" x14ac:dyDescent="0.3">
      <c r="B28" s="269" t="s">
        <v>339</v>
      </c>
      <c r="C28" s="355" t="s">
        <v>340</v>
      </c>
      <c r="D28" s="355"/>
      <c r="E28" s="355"/>
      <c r="F28" s="355"/>
      <c r="G28" s="355"/>
      <c r="H28" s="355"/>
      <c r="I28" s="355"/>
      <c r="J28" s="356"/>
      <c r="K28" s="17"/>
    </row>
    <row r="29" spans="2:11" x14ac:dyDescent="0.3">
      <c r="B29" s="270" t="s">
        <v>341</v>
      </c>
      <c r="C29" s="348" t="s">
        <v>342</v>
      </c>
      <c r="D29" s="348"/>
      <c r="E29" s="348"/>
      <c r="F29" s="348"/>
      <c r="G29" s="348"/>
      <c r="H29" s="348"/>
      <c r="I29" s="348"/>
      <c r="J29" s="349"/>
      <c r="K29" s="17"/>
    </row>
    <row r="30" spans="2:11" x14ac:dyDescent="0.3">
      <c r="B30" s="270" t="s">
        <v>343</v>
      </c>
      <c r="C30" s="348" t="s">
        <v>344</v>
      </c>
      <c r="D30" s="348"/>
      <c r="E30" s="348"/>
      <c r="F30" s="348"/>
      <c r="G30" s="348"/>
      <c r="H30" s="348"/>
      <c r="I30" s="348"/>
      <c r="J30" s="349"/>
      <c r="K30" s="17"/>
    </row>
    <row r="31" spans="2:11" ht="28.8" x14ac:dyDescent="0.3">
      <c r="B31" s="271" t="s">
        <v>345</v>
      </c>
      <c r="C31" s="346" t="s">
        <v>346</v>
      </c>
      <c r="D31" s="346"/>
      <c r="E31" s="346"/>
      <c r="F31" s="346"/>
      <c r="G31" s="346"/>
      <c r="H31" s="346"/>
      <c r="I31" s="346"/>
      <c r="J31" s="347"/>
      <c r="K31" s="17"/>
    </row>
    <row r="32" spans="2:11" ht="30" customHeight="1" x14ac:dyDescent="0.3">
      <c r="B32" s="272" t="s">
        <v>143</v>
      </c>
      <c r="C32" s="346" t="s">
        <v>347</v>
      </c>
      <c r="D32" s="346"/>
      <c r="E32" s="346"/>
      <c r="F32" s="346"/>
      <c r="G32" s="346"/>
      <c r="H32" s="346"/>
      <c r="I32" s="346"/>
      <c r="J32" s="347"/>
      <c r="K32" s="17"/>
    </row>
    <row r="33" spans="2:11" x14ac:dyDescent="0.3">
      <c r="B33" s="270" t="s">
        <v>348</v>
      </c>
      <c r="C33" s="348" t="s">
        <v>349</v>
      </c>
      <c r="D33" s="348"/>
      <c r="E33" s="348"/>
      <c r="F33" s="348"/>
      <c r="G33" s="348"/>
      <c r="H33" s="348"/>
      <c r="I33" s="348"/>
      <c r="J33" s="349"/>
      <c r="K33" s="17"/>
    </row>
    <row r="34" spans="2:11" x14ac:dyDescent="0.3">
      <c r="B34" s="273" t="s">
        <v>350</v>
      </c>
      <c r="C34" s="350" t="s">
        <v>399</v>
      </c>
      <c r="D34" s="350"/>
      <c r="E34" s="350"/>
      <c r="F34" s="350"/>
      <c r="G34" s="350"/>
      <c r="H34" s="350"/>
      <c r="I34" s="350"/>
      <c r="J34" s="351"/>
      <c r="K34" s="17"/>
    </row>
    <row r="35" spans="2:11" x14ac:dyDescent="0.3">
      <c r="B35" s="270" t="s">
        <v>351</v>
      </c>
      <c r="C35" s="348" t="s">
        <v>352</v>
      </c>
      <c r="D35" s="348"/>
      <c r="E35" s="348"/>
      <c r="F35" s="348"/>
      <c r="G35" s="348"/>
      <c r="H35" s="348"/>
      <c r="I35" s="348"/>
      <c r="J35" s="349"/>
      <c r="K35" s="17"/>
    </row>
    <row r="36" spans="2:11" ht="45.9" customHeight="1" x14ac:dyDescent="0.3">
      <c r="B36" s="271" t="s">
        <v>353</v>
      </c>
      <c r="C36" s="346" t="s">
        <v>354</v>
      </c>
      <c r="D36" s="346"/>
      <c r="E36" s="346"/>
      <c r="F36" s="346"/>
      <c r="G36" s="346"/>
      <c r="H36" s="346"/>
      <c r="I36" s="346"/>
      <c r="J36" s="347"/>
      <c r="K36" s="17"/>
    </row>
    <row r="37" spans="2:11" ht="30" customHeight="1" x14ac:dyDescent="0.3">
      <c r="B37" s="272" t="s">
        <v>355</v>
      </c>
      <c r="C37" s="346" t="s">
        <v>356</v>
      </c>
      <c r="D37" s="346"/>
      <c r="E37" s="346"/>
      <c r="F37" s="346"/>
      <c r="G37" s="346"/>
      <c r="H37" s="346"/>
      <c r="I37" s="346"/>
      <c r="J37" s="347"/>
      <c r="K37" s="17"/>
    </row>
    <row r="38" spans="2:11" ht="30" customHeight="1" x14ac:dyDescent="0.3">
      <c r="B38" s="272" t="s">
        <v>357</v>
      </c>
      <c r="C38" s="346" t="s">
        <v>358</v>
      </c>
      <c r="D38" s="346"/>
      <c r="E38" s="346"/>
      <c r="F38" s="346"/>
      <c r="G38" s="346"/>
      <c r="H38" s="346"/>
      <c r="I38" s="346"/>
      <c r="J38" s="347"/>
      <c r="K38" s="17"/>
    </row>
    <row r="39" spans="2:11" ht="28.8" x14ac:dyDescent="0.3">
      <c r="B39" s="271" t="s">
        <v>359</v>
      </c>
      <c r="C39" s="346" t="s">
        <v>360</v>
      </c>
      <c r="D39" s="346"/>
      <c r="E39" s="346"/>
      <c r="F39" s="346"/>
      <c r="G39" s="346"/>
      <c r="H39" s="346"/>
      <c r="I39" s="346"/>
      <c r="J39" s="347"/>
      <c r="K39" s="17"/>
    </row>
    <row r="40" spans="2:11" ht="30" customHeight="1" x14ac:dyDescent="0.3">
      <c r="B40" s="271" t="s">
        <v>361</v>
      </c>
      <c r="C40" s="346" t="s">
        <v>362</v>
      </c>
      <c r="D40" s="346"/>
      <c r="E40" s="346"/>
      <c r="F40" s="346"/>
      <c r="G40" s="346"/>
      <c r="H40" s="346"/>
      <c r="I40" s="346"/>
      <c r="J40" s="347"/>
      <c r="K40" s="17"/>
    </row>
    <row r="41" spans="2:11" x14ac:dyDescent="0.3">
      <c r="B41" s="273" t="s">
        <v>363</v>
      </c>
      <c r="C41" s="348" t="s">
        <v>364</v>
      </c>
      <c r="D41" s="348"/>
      <c r="E41" s="348"/>
      <c r="F41" s="348"/>
      <c r="G41" s="348"/>
      <c r="H41" s="348"/>
      <c r="I41" s="348"/>
      <c r="J41" s="349"/>
      <c r="K41" s="17"/>
    </row>
    <row r="42" spans="2:11" ht="30" customHeight="1" thickBot="1" x14ac:dyDescent="0.35">
      <c r="B42" s="274" t="s">
        <v>365</v>
      </c>
      <c r="C42" s="344" t="s">
        <v>366</v>
      </c>
      <c r="D42" s="344"/>
      <c r="E42" s="344"/>
      <c r="F42" s="344"/>
      <c r="G42" s="344"/>
      <c r="H42" s="344"/>
      <c r="I42" s="344"/>
      <c r="J42" s="345"/>
      <c r="K42" s="17"/>
    </row>
    <row r="43" spans="2:11" x14ac:dyDescent="0.3">
      <c r="B43" s="260"/>
      <c r="C43" s="17"/>
      <c r="D43" s="17"/>
      <c r="E43" s="17"/>
      <c r="F43" s="17"/>
      <c r="G43" s="17"/>
      <c r="H43" s="17"/>
      <c r="I43" s="17"/>
      <c r="J43" s="17"/>
      <c r="K43" s="17"/>
    </row>
  </sheetData>
  <mergeCells count="24">
    <mergeCell ref="B16:J16"/>
    <mergeCell ref="B9:J9"/>
    <mergeCell ref="B14:J14"/>
    <mergeCell ref="F2:G2"/>
    <mergeCell ref="B2:D2"/>
    <mergeCell ref="B4:J4"/>
    <mergeCell ref="B6:J6"/>
    <mergeCell ref="B12:J12"/>
    <mergeCell ref="B27:J27"/>
    <mergeCell ref="C28:J28"/>
    <mergeCell ref="C29:J29"/>
    <mergeCell ref="C30:J30"/>
    <mergeCell ref="C31:J31"/>
    <mergeCell ref="C32:J32"/>
    <mergeCell ref="C33:J33"/>
    <mergeCell ref="C34:J34"/>
    <mergeCell ref="C35:J35"/>
    <mergeCell ref="C36:J36"/>
    <mergeCell ref="C42:J42"/>
    <mergeCell ref="C37:J37"/>
    <mergeCell ref="C38:J38"/>
    <mergeCell ref="C39:J39"/>
    <mergeCell ref="C40:J40"/>
    <mergeCell ref="C41:J41"/>
  </mergeCells>
  <printOptions horizontalCentered="1"/>
  <pageMargins left="0.5" right="0.5" top="0.5" bottom="0.5" header="0.3" footer="0.3"/>
  <pageSetup scale="7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zoomScale="75" zoomScaleNormal="75" zoomScaleSheetLayoutView="40" zoomScalePageLayoutView="40" workbookViewId="0">
      <selection activeCell="B39" sqref="B39:J39"/>
    </sheetView>
  </sheetViews>
  <sheetFormatPr defaultColWidth="9.109375" defaultRowHeight="14.4" x14ac:dyDescent="0.3"/>
  <cols>
    <col min="1" max="1" width="4.6640625" style="38" customWidth="1"/>
    <col min="2" max="2" width="25.88671875" style="38" customWidth="1"/>
    <col min="3" max="3" width="27.6640625" style="38" customWidth="1"/>
    <col min="4" max="4" width="9" style="38" customWidth="1"/>
    <col min="5" max="5" width="8.33203125" style="38" customWidth="1"/>
    <col min="6" max="6" width="12.109375" style="38" customWidth="1"/>
    <col min="7" max="7" width="12.6640625" style="38" customWidth="1"/>
    <col min="8" max="8" width="16.44140625" style="38" customWidth="1"/>
    <col min="9" max="9" width="13.109375" style="38" customWidth="1"/>
    <col min="10" max="10" width="12.44140625" style="38" customWidth="1"/>
    <col min="11" max="11" width="9.109375" style="38" customWidth="1"/>
    <col min="12" max="12" width="2.88671875" style="38" customWidth="1"/>
    <col min="13" max="13" width="5.44140625" style="38" customWidth="1"/>
    <col min="14" max="14" width="6.44140625" style="38" customWidth="1"/>
    <col min="15" max="16384" width="9.109375" style="38"/>
  </cols>
  <sheetData>
    <row r="1" spans="1:14" ht="24.9" customHeight="1" x14ac:dyDescent="0.3">
      <c r="B1" s="383" t="s">
        <v>412</v>
      </c>
      <c r="C1" s="384"/>
      <c r="D1" s="384"/>
      <c r="E1" s="384"/>
      <c r="F1" s="384"/>
      <c r="G1" s="384"/>
      <c r="H1" s="384"/>
      <c r="I1" s="384"/>
      <c r="J1" s="384"/>
      <c r="K1" s="384"/>
      <c r="L1" s="385"/>
    </row>
    <row r="2" spans="1:14" ht="18.75" customHeight="1" thickBot="1" x14ac:dyDescent="0.35">
      <c r="B2" s="386" t="str">
        <f>Introduction!F2</f>
        <v>Version 1.1</v>
      </c>
      <c r="C2" s="387"/>
      <c r="D2" s="387"/>
      <c r="E2" s="387"/>
      <c r="F2" s="387"/>
      <c r="G2" s="387"/>
      <c r="H2" s="387"/>
      <c r="I2" s="387"/>
      <c r="J2" s="387"/>
      <c r="K2" s="387"/>
      <c r="L2" s="388"/>
    </row>
    <row r="3" spans="1:14" ht="18" x14ac:dyDescent="0.35">
      <c r="B3" s="76"/>
      <c r="C3" s="76"/>
      <c r="D3" s="76"/>
      <c r="E3" s="76"/>
      <c r="F3" s="76"/>
      <c r="G3" s="76"/>
      <c r="H3" s="76"/>
      <c r="I3" s="77"/>
    </row>
    <row r="4" spans="1:14" ht="24.75" customHeight="1" x14ac:dyDescent="0.3">
      <c r="B4" s="97" t="s">
        <v>64</v>
      </c>
      <c r="C4" s="368" t="s">
        <v>420</v>
      </c>
      <c r="D4" s="368"/>
      <c r="E4" s="368"/>
      <c r="F4" s="368"/>
      <c r="G4" s="98"/>
      <c r="H4" s="227"/>
      <c r="I4" s="226" t="s">
        <v>312</v>
      </c>
      <c r="J4" s="389"/>
      <c r="K4" s="389"/>
      <c r="L4" s="98"/>
    </row>
    <row r="5" spans="1:14" ht="13.5" customHeight="1" x14ac:dyDescent="0.3">
      <c r="B5" s="97"/>
      <c r="C5" s="97"/>
      <c r="D5" s="99"/>
      <c r="E5" s="98"/>
      <c r="F5" s="100"/>
      <c r="G5" s="98"/>
      <c r="H5" s="101"/>
      <c r="I5" s="98"/>
      <c r="J5" s="98"/>
      <c r="K5" s="98"/>
      <c r="L5" s="98"/>
    </row>
    <row r="6" spans="1:14" ht="24.75" customHeight="1" x14ac:dyDescent="0.3">
      <c r="B6" s="97" t="s">
        <v>66</v>
      </c>
      <c r="C6" s="368" t="s">
        <v>416</v>
      </c>
      <c r="D6" s="368"/>
      <c r="E6" s="368"/>
      <c r="F6" s="368"/>
      <c r="G6" s="98"/>
      <c r="H6" s="98"/>
      <c r="I6" s="97" t="s">
        <v>84</v>
      </c>
      <c r="J6" s="381">
        <v>42055</v>
      </c>
      <c r="K6" s="381"/>
      <c r="L6" s="98"/>
    </row>
    <row r="7" spans="1:14" ht="13.5" customHeight="1" x14ac:dyDescent="0.3">
      <c r="B7" s="97"/>
      <c r="C7" s="97"/>
      <c r="D7" s="99"/>
      <c r="E7" s="98"/>
      <c r="F7" s="98"/>
      <c r="G7" s="98"/>
      <c r="H7" s="100"/>
      <c r="I7" s="380"/>
      <c r="J7" s="380"/>
      <c r="K7" s="102"/>
      <c r="L7" s="98"/>
    </row>
    <row r="8" spans="1:14" ht="24.75" customHeight="1" x14ac:dyDescent="0.3">
      <c r="B8" s="97" t="s">
        <v>85</v>
      </c>
      <c r="C8" s="368" t="s">
        <v>425</v>
      </c>
      <c r="D8" s="368"/>
      <c r="E8" s="368"/>
      <c r="F8" s="368"/>
      <c r="G8" s="98"/>
      <c r="H8" s="382" t="s">
        <v>65</v>
      </c>
      <c r="I8" s="382"/>
      <c r="J8" s="381">
        <v>42054</v>
      </c>
      <c r="K8" s="381"/>
      <c r="L8" s="98"/>
    </row>
    <row r="9" spans="1:14" ht="13.5" customHeight="1" x14ac:dyDescent="0.3">
      <c r="B9" s="97"/>
      <c r="C9" s="97"/>
      <c r="D9" s="99"/>
      <c r="E9" s="98"/>
      <c r="F9" s="100"/>
      <c r="G9" s="98"/>
      <c r="H9" s="101"/>
      <c r="I9" s="100"/>
      <c r="J9" s="103"/>
      <c r="K9" s="98"/>
      <c r="L9" s="98"/>
    </row>
    <row r="10" spans="1:14" ht="33.75" customHeight="1" x14ac:dyDescent="0.3">
      <c r="A10" s="382" t="s">
        <v>67</v>
      </c>
      <c r="B10" s="382"/>
      <c r="C10" s="367"/>
      <c r="D10" s="367"/>
      <c r="E10" s="98"/>
      <c r="F10" s="98"/>
      <c r="H10" s="382" t="s">
        <v>291</v>
      </c>
      <c r="I10" s="393"/>
      <c r="J10" s="392">
        <f>IF(TotMiles="","",TotMiles)</f>
        <v>0.16</v>
      </c>
      <c r="K10" s="392"/>
      <c r="L10" s="98"/>
    </row>
    <row r="11" spans="1:14" ht="12" customHeight="1" x14ac:dyDescent="0.3">
      <c r="E11" s="98"/>
      <c r="F11" s="98"/>
      <c r="G11" s="102"/>
      <c r="H11" s="102"/>
      <c r="I11" s="98"/>
      <c r="J11" s="98"/>
      <c r="K11" s="98"/>
      <c r="L11" s="98"/>
    </row>
    <row r="12" spans="1:14" ht="33" customHeight="1" x14ac:dyDescent="0.3">
      <c r="B12" s="222" t="s">
        <v>257</v>
      </c>
      <c r="C12" s="295">
        <v>45.558377</v>
      </c>
      <c r="D12" s="98"/>
      <c r="E12" s="98"/>
      <c r="F12" s="98"/>
      <c r="H12" s="222"/>
      <c r="I12" s="390" t="s">
        <v>14</v>
      </c>
      <c r="J12" s="390" t="s">
        <v>11</v>
      </c>
      <c r="K12" s="390" t="s">
        <v>12</v>
      </c>
      <c r="N12" s="222"/>
    </row>
    <row r="13" spans="1:14" ht="12.75" customHeight="1" x14ac:dyDescent="0.3">
      <c r="B13" s="372"/>
      <c r="C13" s="372"/>
      <c r="D13" s="373"/>
      <c r="E13" s="98"/>
      <c r="F13" s="223"/>
      <c r="H13" s="98"/>
      <c r="I13" s="391"/>
      <c r="J13" s="391"/>
      <c r="K13" s="391"/>
    </row>
    <row r="14" spans="1:14" ht="33" customHeight="1" x14ac:dyDescent="0.3">
      <c r="B14" s="222" t="s">
        <v>258</v>
      </c>
      <c r="C14" s="296">
        <v>-123.895087</v>
      </c>
      <c r="D14" s="225"/>
      <c r="H14" s="212" t="str">
        <f>IF(J4="","",IF(J4="Impact","Debits:","Credit:"))</f>
        <v/>
      </c>
      <c r="I14" s="291" t="str">
        <f>IF($J$4="","",IF($J$4="Impact",'Credit Calculations'!E54,'Credit Calculations'!E55))</f>
        <v/>
      </c>
      <c r="J14" s="291" t="str">
        <f>IF($J$4="","",IF($J$4="Impact",'Credit Calculations'!F54,'Credit Calculations'!F55))</f>
        <v/>
      </c>
      <c r="K14" s="291" t="str">
        <f>IF($J$4="","",IF($J$4="Impact",'Credit Calculations'!G54,'Credit Calculations'!G55))</f>
        <v/>
      </c>
    </row>
    <row r="15" spans="1:14" ht="12.75" customHeight="1" x14ac:dyDescent="0.3">
      <c r="B15" s="97"/>
      <c r="C15" s="97"/>
      <c r="D15" s="99"/>
      <c r="E15" s="98"/>
      <c r="F15" s="100"/>
      <c r="G15" s="98"/>
      <c r="H15" s="101"/>
      <c r="I15" s="380"/>
      <c r="J15" s="380"/>
      <c r="K15" s="98"/>
      <c r="L15" s="98"/>
    </row>
    <row r="16" spans="1:14" ht="12" customHeight="1" x14ac:dyDescent="0.3">
      <c r="B16" s="372"/>
      <c r="C16" s="372"/>
      <c r="D16" s="373"/>
      <c r="E16" s="98"/>
      <c r="F16" s="98"/>
      <c r="G16" s="98"/>
      <c r="H16" s="98"/>
      <c r="I16" s="98"/>
      <c r="J16" s="98"/>
      <c r="K16" s="98"/>
      <c r="L16" s="98"/>
    </row>
    <row r="17" spans="2:13" ht="15.6" x14ac:dyDescent="0.3">
      <c r="B17" s="374" t="s">
        <v>367</v>
      </c>
      <c r="C17" s="374"/>
      <c r="D17" s="374"/>
      <c r="E17" s="374"/>
      <c r="F17" s="374"/>
      <c r="G17" s="374"/>
      <c r="H17" s="374"/>
      <c r="I17" s="374"/>
      <c r="J17" s="374"/>
      <c r="K17" s="374"/>
      <c r="L17" s="374"/>
    </row>
    <row r="18" spans="2:13" x14ac:dyDescent="0.3">
      <c r="B18" s="375" t="s">
        <v>421</v>
      </c>
      <c r="C18" s="375"/>
      <c r="D18" s="375"/>
      <c r="E18" s="375"/>
      <c r="F18" s="375"/>
      <c r="G18" s="375"/>
      <c r="H18" s="375"/>
      <c r="I18" s="375"/>
      <c r="J18" s="375"/>
      <c r="K18" s="375"/>
      <c r="L18" s="375"/>
    </row>
    <row r="19" spans="2:13" ht="60.75" customHeight="1" x14ac:dyDescent="0.3">
      <c r="B19" s="375"/>
      <c r="C19" s="375"/>
      <c r="D19" s="375"/>
      <c r="E19" s="375"/>
      <c r="F19" s="375"/>
      <c r="G19" s="375"/>
      <c r="H19" s="375"/>
      <c r="I19" s="375"/>
      <c r="J19" s="375"/>
      <c r="K19" s="375"/>
      <c r="L19" s="375"/>
    </row>
    <row r="20" spans="2:13" ht="15.6" x14ac:dyDescent="0.3">
      <c r="B20" s="98"/>
      <c r="C20" s="98"/>
      <c r="D20" s="98"/>
      <c r="E20" s="98"/>
      <c r="F20" s="98"/>
      <c r="G20" s="98"/>
      <c r="H20" s="98"/>
      <c r="I20" s="98"/>
      <c r="J20" s="98"/>
      <c r="K20" s="98"/>
      <c r="L20" s="98"/>
    </row>
    <row r="21" spans="2:13" ht="64.5" customHeight="1" x14ac:dyDescent="0.3">
      <c r="B21" s="366" t="s">
        <v>408</v>
      </c>
      <c r="C21" s="366"/>
      <c r="D21" s="366"/>
      <c r="E21" s="366"/>
      <c r="F21" s="366"/>
      <c r="G21" s="366"/>
      <c r="H21" s="366"/>
      <c r="I21" s="366"/>
      <c r="J21" s="366"/>
      <c r="K21" s="207"/>
      <c r="L21" s="207"/>
      <c r="M21" s="88"/>
    </row>
    <row r="22" spans="2:13" ht="15.75" customHeight="1" x14ac:dyDescent="0.3">
      <c r="B22" s="394" t="s">
        <v>28</v>
      </c>
      <c r="C22" s="394"/>
      <c r="D22" s="376" t="s">
        <v>29</v>
      </c>
      <c r="E22" s="378" t="s">
        <v>30</v>
      </c>
      <c r="F22" s="369" t="s">
        <v>212</v>
      </c>
      <c r="G22" s="370"/>
      <c r="H22" s="369" t="s">
        <v>215</v>
      </c>
      <c r="I22" s="370"/>
      <c r="J22" s="364" t="s">
        <v>288</v>
      </c>
      <c r="K22" s="203"/>
      <c r="L22" s="98"/>
    </row>
    <row r="23" spans="2:13" ht="31.2" x14ac:dyDescent="0.3">
      <c r="B23" s="395"/>
      <c r="C23" s="395"/>
      <c r="D23" s="377"/>
      <c r="E23" s="379"/>
      <c r="F23" s="104" t="s">
        <v>213</v>
      </c>
      <c r="G23" s="105" t="s">
        <v>214</v>
      </c>
      <c r="H23" s="106" t="s">
        <v>216</v>
      </c>
      <c r="I23" s="204" t="s">
        <v>217</v>
      </c>
      <c r="J23" s="364"/>
      <c r="K23" s="98"/>
      <c r="L23" s="98"/>
    </row>
    <row r="24" spans="2:13" ht="15.6" x14ac:dyDescent="0.3">
      <c r="B24" s="396" t="s">
        <v>206</v>
      </c>
      <c r="C24" s="396"/>
      <c r="D24" s="107" t="s">
        <v>63</v>
      </c>
      <c r="E24" s="107" t="s">
        <v>32</v>
      </c>
      <c r="F24" s="198"/>
      <c r="G24" s="199"/>
      <c r="H24" s="200"/>
      <c r="I24" s="205"/>
      <c r="J24" s="206"/>
      <c r="K24" s="98"/>
      <c r="L24" s="98"/>
    </row>
    <row r="25" spans="2:13" ht="15.6" x14ac:dyDescent="0.3">
      <c r="B25" s="371" t="s">
        <v>208</v>
      </c>
      <c r="C25" s="371"/>
      <c r="D25" s="107" t="s">
        <v>63</v>
      </c>
      <c r="E25" s="107"/>
      <c r="F25" s="198"/>
      <c r="G25" s="199"/>
      <c r="H25" s="201"/>
      <c r="I25" s="205"/>
      <c r="J25" s="206"/>
      <c r="K25" s="98"/>
      <c r="L25" s="98"/>
    </row>
    <row r="26" spans="2:13" ht="15.6" x14ac:dyDescent="0.3">
      <c r="B26" s="371" t="s">
        <v>33</v>
      </c>
      <c r="C26" s="371"/>
      <c r="D26" s="107" t="s">
        <v>31</v>
      </c>
      <c r="E26" s="107" t="s">
        <v>32</v>
      </c>
      <c r="F26" s="198"/>
      <c r="G26" s="199"/>
      <c r="H26" s="201"/>
      <c r="I26" s="205"/>
      <c r="J26" s="206"/>
      <c r="K26" s="98"/>
      <c r="L26" s="98"/>
    </row>
    <row r="27" spans="2:13" ht="15.6" x14ac:dyDescent="0.3">
      <c r="B27" s="371" t="s">
        <v>205</v>
      </c>
      <c r="C27" s="371"/>
      <c r="D27" s="107" t="s">
        <v>63</v>
      </c>
      <c r="E27" s="107" t="s">
        <v>32</v>
      </c>
      <c r="F27" s="198"/>
      <c r="G27" s="199"/>
      <c r="H27" s="201"/>
      <c r="I27" s="205"/>
      <c r="J27" s="206"/>
      <c r="K27" s="98"/>
      <c r="L27" s="98"/>
    </row>
    <row r="28" spans="2:13" ht="15.6" x14ac:dyDescent="0.3">
      <c r="B28" s="371" t="s">
        <v>203</v>
      </c>
      <c r="C28" s="371"/>
      <c r="D28" s="107" t="s">
        <v>63</v>
      </c>
      <c r="E28" s="107" t="s">
        <v>32</v>
      </c>
      <c r="F28" s="198"/>
      <c r="G28" s="199"/>
      <c r="H28" s="201"/>
      <c r="I28" s="205"/>
      <c r="J28" s="206"/>
      <c r="K28" s="98"/>
      <c r="L28" s="98"/>
    </row>
    <row r="29" spans="2:13" ht="15.6" x14ac:dyDescent="0.3">
      <c r="B29" s="371" t="s">
        <v>204</v>
      </c>
      <c r="C29" s="371"/>
      <c r="D29" s="107" t="s">
        <v>63</v>
      </c>
      <c r="E29" s="107" t="s">
        <v>32</v>
      </c>
      <c r="F29" s="198"/>
      <c r="G29" s="199"/>
      <c r="H29" s="201"/>
      <c r="I29" s="205"/>
      <c r="J29" s="206"/>
      <c r="K29" s="98"/>
      <c r="L29" s="98"/>
    </row>
    <row r="30" spans="2:13" ht="15.6" x14ac:dyDescent="0.3">
      <c r="B30" s="371" t="s">
        <v>200</v>
      </c>
      <c r="C30" s="371"/>
      <c r="D30" s="107" t="s">
        <v>63</v>
      </c>
      <c r="E30" s="107"/>
      <c r="F30" s="198"/>
      <c r="G30" s="199"/>
      <c r="H30" s="201"/>
      <c r="I30" s="205"/>
      <c r="J30" s="206"/>
      <c r="K30" s="98"/>
      <c r="L30" s="98"/>
    </row>
    <row r="31" spans="2:13" ht="15.6" x14ac:dyDescent="0.3">
      <c r="B31" s="397" t="s">
        <v>34</v>
      </c>
      <c r="C31" s="397"/>
      <c r="D31" s="107" t="s">
        <v>63</v>
      </c>
      <c r="E31" s="107" t="s">
        <v>32</v>
      </c>
      <c r="F31" s="198" t="s">
        <v>417</v>
      </c>
      <c r="G31" s="199"/>
      <c r="H31" s="201" t="s">
        <v>417</v>
      </c>
      <c r="I31" s="205" t="s">
        <v>417</v>
      </c>
      <c r="J31" s="206" t="s">
        <v>417</v>
      </c>
      <c r="K31" s="98"/>
      <c r="L31" s="98"/>
    </row>
    <row r="32" spans="2:13" ht="15.6" x14ac:dyDescent="0.3">
      <c r="B32" s="396" t="s">
        <v>207</v>
      </c>
      <c r="C32" s="396"/>
      <c r="D32" s="107"/>
      <c r="E32" s="107"/>
      <c r="F32" s="198"/>
      <c r="G32" s="199"/>
      <c r="H32" s="201"/>
      <c r="I32" s="205"/>
      <c r="J32" s="206"/>
      <c r="K32" s="98"/>
      <c r="L32" s="98"/>
    </row>
    <row r="33" spans="2:12" ht="15.6" x14ac:dyDescent="0.3">
      <c r="B33" s="371" t="s">
        <v>198</v>
      </c>
      <c r="C33" s="371"/>
      <c r="D33" s="107"/>
      <c r="E33" s="107"/>
      <c r="F33" s="198"/>
      <c r="G33" s="199"/>
      <c r="H33" s="201"/>
      <c r="I33" s="205"/>
      <c r="J33" s="206"/>
      <c r="K33" s="98"/>
      <c r="L33" s="98"/>
    </row>
    <row r="34" spans="2:12" ht="15.6" x14ac:dyDescent="0.3">
      <c r="B34" s="371" t="s">
        <v>199</v>
      </c>
      <c r="C34" s="371"/>
      <c r="D34" s="107"/>
      <c r="E34" s="107"/>
      <c r="F34" s="198"/>
      <c r="G34" s="199"/>
      <c r="H34" s="201"/>
      <c r="I34" s="205"/>
      <c r="J34" s="206"/>
      <c r="K34" s="98"/>
      <c r="L34" s="98"/>
    </row>
    <row r="35" spans="2:12" ht="15.6" x14ac:dyDescent="0.3">
      <c r="B35" s="371" t="s">
        <v>201</v>
      </c>
      <c r="C35" s="371"/>
      <c r="D35" s="107"/>
      <c r="E35" s="107"/>
      <c r="F35" s="198"/>
      <c r="G35" s="199"/>
      <c r="H35" s="201"/>
      <c r="I35" s="205"/>
      <c r="J35" s="206"/>
      <c r="K35" s="98"/>
      <c r="L35" s="98"/>
    </row>
    <row r="36" spans="2:12" ht="15.6" x14ac:dyDescent="0.3">
      <c r="B36" s="371" t="s">
        <v>202</v>
      </c>
      <c r="C36" s="371"/>
      <c r="D36" s="107"/>
      <c r="E36" s="107"/>
      <c r="F36" s="198" t="s">
        <v>417</v>
      </c>
      <c r="G36" s="199"/>
      <c r="H36" s="201" t="s">
        <v>417</v>
      </c>
      <c r="I36" s="205" t="s">
        <v>417</v>
      </c>
      <c r="J36" s="206"/>
      <c r="K36" s="98"/>
      <c r="L36" s="98"/>
    </row>
    <row r="37" spans="2:12" ht="15.6" x14ac:dyDescent="0.3">
      <c r="B37" s="371" t="s">
        <v>209</v>
      </c>
      <c r="C37" s="371"/>
      <c r="D37" s="107" t="s">
        <v>210</v>
      </c>
      <c r="E37" s="107"/>
      <c r="F37" s="198"/>
      <c r="G37" s="199"/>
      <c r="H37" s="201"/>
      <c r="I37" s="205"/>
      <c r="J37" s="206"/>
      <c r="K37" s="98"/>
      <c r="L37" s="98"/>
    </row>
    <row r="38" spans="2:12" ht="15.6" x14ac:dyDescent="0.3">
      <c r="B38" s="371" t="s">
        <v>211</v>
      </c>
      <c r="C38" s="371"/>
      <c r="D38" s="107"/>
      <c r="E38" s="107"/>
      <c r="F38" s="198"/>
      <c r="G38" s="199"/>
      <c r="H38" s="201"/>
      <c r="I38" s="205"/>
      <c r="J38" s="206"/>
      <c r="K38" s="98"/>
      <c r="L38" s="98"/>
    </row>
    <row r="39" spans="2:12" ht="36.75" customHeight="1" x14ac:dyDescent="0.3">
      <c r="B39" s="365" t="s">
        <v>423</v>
      </c>
      <c r="C39" s="365"/>
      <c r="D39" s="365"/>
      <c r="E39" s="365"/>
      <c r="F39" s="365"/>
      <c r="G39" s="365"/>
      <c r="H39" s="365"/>
      <c r="I39" s="365"/>
      <c r="J39" s="365"/>
      <c r="K39" s="98"/>
      <c r="L39" s="98"/>
    </row>
    <row r="40" spans="2:12" ht="15.6" x14ac:dyDescent="0.3">
      <c r="B40" s="98"/>
      <c r="C40" s="98"/>
      <c r="D40" s="98"/>
      <c r="E40" s="98"/>
      <c r="F40" s="98"/>
      <c r="G40" s="98"/>
      <c r="H40" s="98"/>
      <c r="I40" s="98"/>
      <c r="J40" s="98"/>
      <c r="K40" s="98"/>
      <c r="L40" s="98"/>
    </row>
    <row r="41" spans="2:12" ht="35.1" customHeight="1" x14ac:dyDescent="0.3">
      <c r="B41" s="398" t="s">
        <v>368</v>
      </c>
      <c r="C41" s="398"/>
      <c r="D41" s="398"/>
      <c r="E41" s="398"/>
      <c r="F41" s="398"/>
      <c r="G41" s="398"/>
      <c r="H41" s="398"/>
      <c r="I41" s="398"/>
      <c r="J41" s="398"/>
      <c r="K41" s="398"/>
      <c r="L41" s="398"/>
    </row>
    <row r="42" spans="2:12" ht="32.25" customHeight="1" x14ac:dyDescent="0.3">
      <c r="B42" s="375"/>
      <c r="C42" s="375"/>
      <c r="D42" s="375"/>
      <c r="E42" s="375"/>
      <c r="F42" s="375"/>
      <c r="G42" s="375"/>
      <c r="H42" s="375"/>
      <c r="I42" s="375"/>
      <c r="J42" s="375"/>
      <c r="K42" s="375"/>
      <c r="L42" s="375"/>
    </row>
    <row r="43" spans="2:12" ht="15.6" x14ac:dyDescent="0.3">
      <c r="B43" s="102"/>
      <c r="C43" s="102"/>
      <c r="D43" s="102"/>
      <c r="E43" s="102"/>
      <c r="F43" s="102"/>
      <c r="G43" s="102"/>
      <c r="H43" s="102"/>
      <c r="I43" s="102"/>
      <c r="J43" s="102"/>
      <c r="K43" s="102"/>
      <c r="L43" s="102"/>
    </row>
    <row r="44" spans="2:12" ht="50.1" customHeight="1" x14ac:dyDescent="0.3">
      <c r="B44" s="398" t="s">
        <v>259</v>
      </c>
      <c r="C44" s="398"/>
      <c r="D44" s="398"/>
      <c r="E44" s="398"/>
      <c r="F44" s="398"/>
      <c r="G44" s="398"/>
      <c r="H44" s="398"/>
      <c r="I44" s="398"/>
      <c r="J44" s="398"/>
      <c r="K44" s="398"/>
      <c r="L44" s="398"/>
    </row>
    <row r="45" spans="2:12" ht="48.75" customHeight="1" x14ac:dyDescent="0.3">
      <c r="B45" s="375" t="s">
        <v>17</v>
      </c>
      <c r="C45" s="375"/>
      <c r="D45" s="375"/>
      <c r="E45" s="375"/>
      <c r="F45" s="375"/>
      <c r="G45" s="375"/>
      <c r="H45" s="375"/>
      <c r="I45" s="375"/>
      <c r="J45" s="375"/>
      <c r="K45" s="375"/>
      <c r="L45" s="375"/>
    </row>
    <row r="46" spans="2:12" ht="15.6" x14ac:dyDescent="0.3">
      <c r="B46" s="102"/>
      <c r="C46" s="102"/>
      <c r="D46" s="102"/>
      <c r="E46" s="102"/>
      <c r="F46" s="102"/>
      <c r="G46" s="102"/>
      <c r="H46" s="102"/>
      <c r="I46" s="102"/>
      <c r="J46" s="102"/>
      <c r="K46" s="102"/>
      <c r="L46" s="102"/>
    </row>
    <row r="47" spans="2:12" ht="50.1" customHeight="1" x14ac:dyDescent="0.3">
      <c r="B47" s="398" t="s">
        <v>260</v>
      </c>
      <c r="C47" s="398"/>
      <c r="D47" s="398"/>
      <c r="E47" s="398"/>
      <c r="F47" s="398"/>
      <c r="G47" s="398"/>
      <c r="H47" s="398"/>
      <c r="I47" s="398"/>
      <c r="J47" s="398"/>
      <c r="K47" s="398"/>
      <c r="L47" s="398"/>
    </row>
    <row r="48" spans="2:12" ht="26.25" customHeight="1" x14ac:dyDescent="0.3">
      <c r="B48" s="375" t="s">
        <v>17</v>
      </c>
      <c r="C48" s="375"/>
      <c r="D48" s="375"/>
      <c r="E48" s="375"/>
      <c r="F48" s="375"/>
      <c r="G48" s="375"/>
      <c r="H48" s="375"/>
      <c r="I48" s="375"/>
      <c r="J48" s="375"/>
      <c r="K48" s="375"/>
      <c r="L48" s="375"/>
    </row>
    <row r="49" spans="2:14" ht="15.6" x14ac:dyDescent="0.3">
      <c r="B49" s="108"/>
      <c r="C49" s="108"/>
      <c r="D49" s="108"/>
      <c r="E49" s="108"/>
      <c r="F49" s="108"/>
      <c r="G49" s="108"/>
      <c r="H49" s="108"/>
      <c r="I49" s="109"/>
      <c r="J49" s="102"/>
      <c r="K49" s="102"/>
      <c r="L49" s="102"/>
    </row>
    <row r="50" spans="2:14" ht="35.1" customHeight="1" x14ac:dyDescent="0.3">
      <c r="B50" s="398" t="s">
        <v>369</v>
      </c>
      <c r="C50" s="398"/>
      <c r="D50" s="398"/>
      <c r="E50" s="398"/>
      <c r="F50" s="398"/>
      <c r="G50" s="398"/>
      <c r="H50" s="398"/>
      <c r="I50" s="398"/>
      <c r="J50" s="398"/>
      <c r="K50" s="398"/>
      <c r="L50" s="398"/>
    </row>
    <row r="51" spans="2:14" ht="29.25" customHeight="1" x14ac:dyDescent="0.3">
      <c r="B51" s="375"/>
      <c r="C51" s="375"/>
      <c r="D51" s="375"/>
      <c r="E51" s="375"/>
      <c r="F51" s="375"/>
      <c r="G51" s="375"/>
      <c r="H51" s="375"/>
      <c r="I51" s="375"/>
      <c r="J51" s="375"/>
      <c r="K51" s="375"/>
      <c r="L51" s="375"/>
    </row>
    <row r="52" spans="2:14" ht="15.6" x14ac:dyDescent="0.3">
      <c r="B52" s="102"/>
      <c r="C52" s="102"/>
      <c r="D52" s="102"/>
      <c r="E52" s="102"/>
      <c r="F52" s="102"/>
      <c r="G52" s="102"/>
      <c r="H52" s="102"/>
      <c r="I52" s="102"/>
      <c r="J52" s="102"/>
      <c r="K52" s="102"/>
      <c r="L52" s="102"/>
    </row>
    <row r="53" spans="2:14" ht="50.1" customHeight="1" x14ac:dyDescent="0.3">
      <c r="B53" s="398" t="s">
        <v>370</v>
      </c>
      <c r="C53" s="398"/>
      <c r="D53" s="398"/>
      <c r="E53" s="398"/>
      <c r="F53" s="398"/>
      <c r="G53" s="398"/>
      <c r="H53" s="398"/>
      <c r="I53" s="398"/>
      <c r="J53" s="398"/>
      <c r="K53" s="398"/>
      <c r="L53" s="398"/>
    </row>
    <row r="54" spans="2:14" ht="36.75" customHeight="1" x14ac:dyDescent="0.3">
      <c r="B54" s="375"/>
      <c r="C54" s="375"/>
      <c r="D54" s="375"/>
      <c r="E54" s="375"/>
      <c r="F54" s="375"/>
      <c r="G54" s="375"/>
      <c r="H54" s="375"/>
      <c r="I54" s="375"/>
      <c r="J54" s="375"/>
      <c r="K54" s="375"/>
      <c r="L54" s="375"/>
    </row>
    <row r="55" spans="2:14" ht="15.6" x14ac:dyDescent="0.3">
      <c r="B55" s="98"/>
      <c r="C55" s="98"/>
      <c r="D55" s="98"/>
      <c r="E55" s="98"/>
      <c r="F55" s="98"/>
      <c r="G55" s="98"/>
      <c r="H55" s="98"/>
      <c r="I55" s="98"/>
      <c r="J55" s="98"/>
      <c r="K55" s="98"/>
      <c r="L55" s="98"/>
    </row>
    <row r="56" spans="2:14" ht="35.1" customHeight="1" x14ac:dyDescent="0.3">
      <c r="B56" s="398" t="s">
        <v>371</v>
      </c>
      <c r="C56" s="398"/>
      <c r="D56" s="398"/>
      <c r="E56" s="398"/>
      <c r="F56" s="398"/>
      <c r="G56" s="398"/>
      <c r="H56" s="398"/>
      <c r="I56" s="398"/>
      <c r="J56" s="398"/>
      <c r="K56" s="398"/>
      <c r="L56" s="398"/>
    </row>
    <row r="57" spans="2:14" ht="33.75" customHeight="1" x14ac:dyDescent="0.3">
      <c r="B57" s="375" t="s">
        <v>422</v>
      </c>
      <c r="C57" s="375"/>
      <c r="D57" s="375"/>
      <c r="E57" s="375"/>
      <c r="F57" s="375"/>
      <c r="G57" s="375"/>
      <c r="H57" s="375"/>
      <c r="I57" s="375"/>
      <c r="J57" s="375"/>
      <c r="K57" s="375"/>
      <c r="L57" s="375"/>
    </row>
    <row r="58" spans="2:14" ht="15.6" x14ac:dyDescent="0.3">
      <c r="B58" s="98"/>
      <c r="C58" s="98"/>
      <c r="D58" s="98"/>
      <c r="E58" s="98"/>
      <c r="F58" s="98"/>
      <c r="G58" s="98"/>
      <c r="H58" s="98"/>
      <c r="I58" s="98"/>
      <c r="J58" s="98"/>
      <c r="K58" s="98"/>
      <c r="L58" s="98"/>
    </row>
    <row r="59" spans="2:14" ht="15" customHeight="1" x14ac:dyDescent="0.3">
      <c r="B59" s="399" t="s">
        <v>261</v>
      </c>
      <c r="C59" s="399"/>
      <c r="D59" s="399"/>
      <c r="E59" s="399"/>
      <c r="F59" s="399"/>
      <c r="G59" s="399"/>
      <c r="H59" s="399"/>
      <c r="I59" s="399"/>
      <c r="J59" s="399"/>
      <c r="K59" s="399"/>
      <c r="L59" s="399"/>
      <c r="M59" s="25"/>
      <c r="N59" s="25"/>
    </row>
    <row r="60" spans="2:14" ht="33" customHeight="1" x14ac:dyDescent="0.3">
      <c r="B60" s="400" t="s">
        <v>419</v>
      </c>
      <c r="C60" s="400"/>
      <c r="D60" s="400"/>
      <c r="E60" s="400"/>
      <c r="F60" s="400"/>
      <c r="G60" s="400"/>
      <c r="H60" s="400"/>
      <c r="I60" s="400"/>
      <c r="J60" s="400"/>
      <c r="K60" s="400"/>
      <c r="L60" s="400"/>
      <c r="M60" s="25"/>
      <c r="N60" s="25"/>
    </row>
    <row r="61" spans="2:14" x14ac:dyDescent="0.3">
      <c r="B61" s="88"/>
      <c r="C61" s="88"/>
      <c r="D61" s="88"/>
      <c r="E61" s="88"/>
      <c r="F61" s="88"/>
      <c r="G61" s="88"/>
      <c r="H61" s="88"/>
      <c r="I61" s="88"/>
      <c r="J61" s="88"/>
      <c r="K61" s="88"/>
      <c r="L61" s="88"/>
      <c r="M61" s="88"/>
      <c r="N61" s="88"/>
    </row>
  </sheetData>
  <mergeCells count="59">
    <mergeCell ref="B41:L41"/>
    <mergeCell ref="B42:L42"/>
    <mergeCell ref="B44:L44"/>
    <mergeCell ref="B45:L45"/>
    <mergeCell ref="B47:L47"/>
    <mergeCell ref="B56:L56"/>
    <mergeCell ref="B57:L57"/>
    <mergeCell ref="B59:L59"/>
    <mergeCell ref="B60:L60"/>
    <mergeCell ref="B48:L48"/>
    <mergeCell ref="B50:L50"/>
    <mergeCell ref="B51:L51"/>
    <mergeCell ref="B53:L53"/>
    <mergeCell ref="B54:L54"/>
    <mergeCell ref="B36:C36"/>
    <mergeCell ref="B37:C37"/>
    <mergeCell ref="B38:C38"/>
    <mergeCell ref="B30:C30"/>
    <mergeCell ref="B31:C31"/>
    <mergeCell ref="B32:C32"/>
    <mergeCell ref="B33:C33"/>
    <mergeCell ref="B34:C34"/>
    <mergeCell ref="B35:C35"/>
    <mergeCell ref="F22:G22"/>
    <mergeCell ref="B22:C23"/>
    <mergeCell ref="B24:C24"/>
    <mergeCell ref="B25:C25"/>
    <mergeCell ref="B26:C26"/>
    <mergeCell ref="H8:I8"/>
    <mergeCell ref="C8:F8"/>
    <mergeCell ref="B13:D13"/>
    <mergeCell ref="B1:L1"/>
    <mergeCell ref="B2:L2"/>
    <mergeCell ref="A10:B10"/>
    <mergeCell ref="C6:F6"/>
    <mergeCell ref="J6:K6"/>
    <mergeCell ref="I7:J7"/>
    <mergeCell ref="J4:K4"/>
    <mergeCell ref="I12:I13"/>
    <mergeCell ref="J12:J13"/>
    <mergeCell ref="K12:K13"/>
    <mergeCell ref="J10:K10"/>
    <mergeCell ref="H10:I10"/>
    <mergeCell ref="J22:J23"/>
    <mergeCell ref="B39:J39"/>
    <mergeCell ref="B21:J21"/>
    <mergeCell ref="C10:D10"/>
    <mergeCell ref="C4:F4"/>
    <mergeCell ref="H22:I22"/>
    <mergeCell ref="B27:C27"/>
    <mergeCell ref="B16:D16"/>
    <mergeCell ref="B17:L17"/>
    <mergeCell ref="B18:L19"/>
    <mergeCell ref="B29:C29"/>
    <mergeCell ref="B28:C28"/>
    <mergeCell ref="D22:D23"/>
    <mergeCell ref="E22:E23"/>
    <mergeCell ref="I15:J15"/>
    <mergeCell ref="J8:K8"/>
  </mergeCells>
  <printOptions horizontalCentered="1"/>
  <pageMargins left="0.5" right="0.5" top="0.5" bottom="0.5" header="0.3" footer="0.3"/>
  <pageSetup scale="53" orientation="portrait" r:id="rId1"/>
  <headerFooter>
    <oddFooter>&amp;C&amp;P</oddFooter>
  </headerFooter>
  <ignoredErrors>
    <ignoredError sqref="J10 I14:K14"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lists'!$C$8:$C$10</xm:f>
          </x14:formula1>
          <xm:sqref>J4:K4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80"/>
  <sheetViews>
    <sheetView topLeftCell="A23" zoomScale="70" zoomScaleNormal="70" zoomScalePageLayoutView="55" workbookViewId="0">
      <selection activeCell="AD33" sqref="AD33"/>
    </sheetView>
  </sheetViews>
  <sheetFormatPr defaultColWidth="9.109375" defaultRowHeight="13.8" x14ac:dyDescent="0.3"/>
  <cols>
    <col min="1" max="1" width="4.6640625" style="43" customWidth="1"/>
    <col min="2" max="2" width="10" style="47" customWidth="1"/>
    <col min="3" max="3" width="7.44140625" style="43" customWidth="1"/>
    <col min="4" max="4" width="6.5546875" style="43" customWidth="1"/>
    <col min="5" max="5" width="7.6640625" style="43" customWidth="1"/>
    <col min="6" max="6" width="7.109375" style="43" customWidth="1"/>
    <col min="7" max="7" width="6.6640625" style="43" customWidth="1"/>
    <col min="8" max="8" width="7.5546875" style="43" customWidth="1"/>
    <col min="9" max="9" width="14.33203125" style="43" customWidth="1"/>
    <col min="10" max="10" width="13.6640625" style="43" customWidth="1"/>
    <col min="11" max="11" width="7.6640625" style="43" customWidth="1"/>
    <col min="12" max="12" width="8.33203125" style="43" customWidth="1"/>
    <col min="13" max="13" width="8" style="43" customWidth="1"/>
    <col min="14" max="14" width="7.33203125" style="43" customWidth="1"/>
    <col min="15" max="15" width="8.6640625" style="43" customWidth="1"/>
    <col min="16" max="16" width="8" style="43" customWidth="1"/>
    <col min="17" max="17" width="7.33203125" style="43" customWidth="1"/>
    <col min="18" max="18" width="8" style="43" customWidth="1"/>
    <col min="19" max="19" width="11.109375" style="43" bestFit="1" customWidth="1"/>
    <col min="20" max="20" width="8" style="43" customWidth="1"/>
    <col min="21" max="21" width="9" style="43" customWidth="1"/>
    <col min="22" max="22" width="8.6640625" style="43" customWidth="1"/>
    <col min="23" max="16384" width="9.109375" style="43"/>
  </cols>
  <sheetData>
    <row r="1" spans="1:22" s="21" customFormat="1" ht="30" customHeight="1" x14ac:dyDescent="0.3">
      <c r="B1" s="298" t="str">
        <f>CONCATENATE('Cover Page'!B1:L1," ", 'Cover Page'!B2:L2," - INSTREAM")</f>
        <v>FISH PASSAGE CREDIT CALCULATOR Version 1.1 - INSTREAM</v>
      </c>
      <c r="C1" s="298"/>
      <c r="D1" s="298"/>
      <c r="E1" s="298"/>
      <c r="F1" s="297"/>
      <c r="G1" s="66"/>
      <c r="K1" s="44"/>
      <c r="L1" s="44"/>
      <c r="M1" s="44"/>
      <c r="N1" s="44"/>
      <c r="O1" s="44"/>
      <c r="P1" s="44"/>
      <c r="Q1" s="44"/>
      <c r="R1" s="44"/>
      <c r="S1" s="183"/>
      <c r="T1" s="44"/>
      <c r="U1" s="23"/>
      <c r="V1" s="23"/>
    </row>
    <row r="2" spans="1:22" ht="15.6" x14ac:dyDescent="0.3">
      <c r="B2" s="30"/>
      <c r="C2" s="30"/>
      <c r="D2" s="30"/>
      <c r="E2" s="30"/>
      <c r="F2" s="46"/>
      <c r="G2" s="46"/>
      <c r="H2" s="30"/>
      <c r="I2" s="30"/>
      <c r="J2" s="34"/>
      <c r="K2" s="34"/>
      <c r="L2" s="34"/>
      <c r="M2" s="34"/>
      <c r="N2" s="34"/>
      <c r="P2" s="98"/>
      <c r="Q2" s="68" t="s">
        <v>88</v>
      </c>
      <c r="R2" s="31"/>
      <c r="S2" s="34"/>
      <c r="T2" s="34"/>
      <c r="U2" s="29"/>
      <c r="V2" s="29"/>
    </row>
    <row r="3" spans="1:22" s="21" customFormat="1" ht="30" customHeight="1" x14ac:dyDescent="0.3">
      <c r="B3" s="401" t="str">
        <f>IF(Project_Site = "","", Project_Site)</f>
        <v>Hwy 101  MP 57.2 Miami tributary, Electric Creek</v>
      </c>
      <c r="C3" s="401"/>
      <c r="D3" s="401"/>
      <c r="E3" s="401"/>
      <c r="F3" s="401"/>
      <c r="G3" s="401"/>
      <c r="H3" s="401"/>
      <c r="I3" s="401"/>
      <c r="P3" s="111"/>
      <c r="Q3" s="68" t="s">
        <v>167</v>
      </c>
      <c r="R3" s="32"/>
    </row>
    <row r="4" spans="1:22" s="21" customFormat="1" x14ac:dyDescent="0.3">
      <c r="B4" s="40"/>
      <c r="C4" s="40"/>
    </row>
    <row r="5" spans="1:22" s="21" customFormat="1" x14ac:dyDescent="0.3">
      <c r="B5" s="40"/>
      <c r="C5" s="40"/>
      <c r="E5" s="40"/>
      <c r="F5" s="40"/>
      <c r="H5" s="39"/>
    </row>
    <row r="6" spans="1:22" s="21" customFormat="1" ht="24.9" customHeight="1" x14ac:dyDescent="0.3">
      <c r="B6" s="110" t="s">
        <v>241</v>
      </c>
      <c r="C6" s="403" t="s">
        <v>231</v>
      </c>
      <c r="D6" s="404"/>
      <c r="E6" s="404"/>
      <c r="F6" s="404"/>
      <c r="G6" s="404"/>
      <c r="H6" s="404"/>
      <c r="I6" s="404"/>
      <c r="J6" s="404"/>
      <c r="K6" s="404"/>
      <c r="L6" s="404"/>
      <c r="M6" s="404"/>
      <c r="N6" s="404"/>
      <c r="O6" s="404"/>
      <c r="P6" s="404"/>
      <c r="Q6" s="404"/>
      <c r="R6" s="404"/>
      <c r="S6" s="405"/>
      <c r="T6" s="111"/>
      <c r="U6" s="111"/>
    </row>
    <row r="7" spans="1:22" s="46" customFormat="1" ht="15.6" x14ac:dyDescent="0.3">
      <c r="B7" s="112"/>
      <c r="C7" s="113"/>
      <c r="D7" s="113"/>
      <c r="E7" s="113"/>
      <c r="F7" s="113"/>
      <c r="G7" s="113"/>
      <c r="H7" s="114"/>
      <c r="I7" s="114"/>
      <c r="J7" s="114"/>
      <c r="K7" s="114"/>
      <c r="L7" s="114"/>
      <c r="M7" s="114"/>
      <c r="N7" s="114"/>
      <c r="O7" s="114"/>
      <c r="P7" s="114"/>
      <c r="Q7" s="114"/>
      <c r="R7" s="102"/>
      <c r="S7" s="102"/>
      <c r="T7" s="102"/>
      <c r="U7" s="102"/>
    </row>
    <row r="8" spans="1:22" s="21" customFormat="1" ht="56.25" customHeight="1" x14ac:dyDescent="0.3">
      <c r="B8" s="115" t="s">
        <v>68</v>
      </c>
      <c r="C8" s="406" t="s">
        <v>293</v>
      </c>
      <c r="D8" s="406"/>
      <c r="E8" s="406"/>
      <c r="F8" s="406"/>
      <c r="G8" s="406"/>
      <c r="H8" s="406"/>
      <c r="I8" s="406"/>
      <c r="J8" s="406"/>
      <c r="K8" s="406"/>
      <c r="L8" s="406"/>
      <c r="M8" s="406"/>
      <c r="N8" s="406"/>
      <c r="O8" s="406"/>
      <c r="P8" s="406"/>
      <c r="Q8" s="406"/>
      <c r="R8" s="419" t="s">
        <v>21</v>
      </c>
      <c r="S8" s="420"/>
      <c r="T8" s="111"/>
      <c r="U8" s="111"/>
    </row>
    <row r="9" spans="1:22" s="21" customFormat="1" ht="50.1" customHeight="1" x14ac:dyDescent="0.3">
      <c r="B9" s="116"/>
      <c r="C9" s="407" t="s">
        <v>240</v>
      </c>
      <c r="D9" s="407"/>
      <c r="E9" s="407"/>
      <c r="F9" s="407"/>
      <c r="G9" s="407"/>
      <c r="H9" s="407"/>
      <c r="I9" s="407"/>
      <c r="J9" s="407"/>
      <c r="K9" s="407"/>
      <c r="L9" s="407"/>
      <c r="M9" s="407"/>
      <c r="N9" s="407"/>
      <c r="O9" s="407"/>
      <c r="P9" s="407"/>
      <c r="Q9" s="407"/>
      <c r="R9" s="441" t="s">
        <v>268</v>
      </c>
      <c r="S9" s="442"/>
      <c r="T9" s="111"/>
      <c r="U9" s="111"/>
    </row>
    <row r="10" spans="1:22" s="80" customFormat="1" ht="15" customHeight="1" x14ac:dyDescent="0.3">
      <c r="A10" s="294"/>
      <c r="B10" s="116"/>
      <c r="C10" s="443"/>
      <c r="D10" s="443"/>
      <c r="E10" s="443"/>
      <c r="F10" s="443"/>
      <c r="G10" s="443"/>
      <c r="H10" s="443"/>
      <c r="I10" s="443"/>
      <c r="J10" s="443"/>
      <c r="K10" s="443"/>
      <c r="L10" s="443"/>
      <c r="M10" s="443"/>
      <c r="N10" s="443"/>
      <c r="O10" s="443"/>
      <c r="P10" s="112"/>
      <c r="Q10" s="112"/>
      <c r="R10" s="113"/>
      <c r="S10" s="113"/>
      <c r="T10" s="113"/>
      <c r="U10" s="113"/>
      <c r="V10" s="82"/>
    </row>
    <row r="11" spans="1:22" s="18" customFormat="1" ht="16.5" customHeight="1" x14ac:dyDescent="0.3">
      <c r="B11" s="116"/>
      <c r="C11" s="410" t="s">
        <v>262</v>
      </c>
      <c r="D11" s="411"/>
      <c r="E11" s="411"/>
      <c r="F11" s="411"/>
      <c r="G11" s="411"/>
      <c r="H11" s="411"/>
      <c r="I11" s="411"/>
      <c r="J11" s="411"/>
      <c r="K11" s="411"/>
      <c r="L11" s="411"/>
      <c r="M11" s="411"/>
      <c r="N11" s="411"/>
      <c r="O11" s="411"/>
      <c r="P11" s="411"/>
      <c r="Q11" s="412"/>
      <c r="R11" s="111"/>
      <c r="S11" s="111"/>
      <c r="T11" s="111"/>
      <c r="U11" s="111"/>
      <c r="V11" s="21"/>
    </row>
    <row r="12" spans="1:22" s="18" customFormat="1" ht="27" customHeight="1" x14ac:dyDescent="0.3">
      <c r="B12" s="116"/>
      <c r="C12" s="413" t="s">
        <v>418</v>
      </c>
      <c r="D12" s="414"/>
      <c r="E12" s="414"/>
      <c r="F12" s="414"/>
      <c r="G12" s="414"/>
      <c r="H12" s="414"/>
      <c r="I12" s="414"/>
      <c r="J12" s="414"/>
      <c r="K12" s="414"/>
      <c r="L12" s="414"/>
      <c r="M12" s="414"/>
      <c r="N12" s="414"/>
      <c r="O12" s="414"/>
      <c r="P12" s="414"/>
      <c r="Q12" s="415"/>
      <c r="R12" s="111"/>
      <c r="S12" s="111"/>
      <c r="T12" s="111"/>
      <c r="U12" s="111"/>
      <c r="V12" s="21"/>
    </row>
    <row r="13" spans="1:22" s="46" customFormat="1" ht="15.6" x14ac:dyDescent="0.3">
      <c r="B13" s="112"/>
      <c r="C13" s="113"/>
      <c r="D13" s="113"/>
      <c r="E13" s="113"/>
      <c r="F13" s="113"/>
      <c r="G13" s="113"/>
      <c r="H13" s="114"/>
      <c r="I13" s="114"/>
      <c r="J13" s="114"/>
      <c r="K13" s="114"/>
      <c r="L13" s="114"/>
      <c r="M13" s="114"/>
      <c r="N13" s="114"/>
      <c r="O13" s="114"/>
      <c r="P13" s="114"/>
      <c r="Q13" s="114"/>
      <c r="R13" s="102"/>
      <c r="S13" s="102"/>
      <c r="T13" s="102"/>
      <c r="U13" s="102"/>
    </row>
    <row r="14" spans="1:22" ht="45.75" customHeight="1" x14ac:dyDescent="0.3">
      <c r="B14" s="115" t="s">
        <v>78</v>
      </c>
      <c r="C14" s="408" t="s">
        <v>294</v>
      </c>
      <c r="D14" s="408"/>
      <c r="E14" s="408"/>
      <c r="F14" s="408"/>
      <c r="G14" s="408"/>
      <c r="H14" s="408"/>
      <c r="I14" s="408"/>
      <c r="J14" s="408"/>
      <c r="K14" s="408"/>
      <c r="L14" s="408"/>
      <c r="M14" s="408"/>
      <c r="N14" s="408"/>
      <c r="O14" s="408"/>
      <c r="P14" s="408"/>
      <c r="Q14" s="408"/>
      <c r="R14" s="117" t="s">
        <v>87</v>
      </c>
      <c r="S14" s="98"/>
      <c r="T14" s="98"/>
      <c r="U14" s="98"/>
    </row>
    <row r="15" spans="1:22" ht="22.5" customHeight="1" x14ac:dyDescent="0.3">
      <c r="B15" s="118"/>
      <c r="C15" s="409" t="s">
        <v>295</v>
      </c>
      <c r="D15" s="409"/>
      <c r="E15" s="409"/>
      <c r="F15" s="409"/>
      <c r="G15" s="409"/>
      <c r="H15" s="409"/>
      <c r="I15" s="409"/>
      <c r="J15" s="409"/>
      <c r="K15" s="409"/>
      <c r="L15" s="409"/>
      <c r="M15" s="409"/>
      <c r="N15" s="409"/>
      <c r="O15" s="409"/>
      <c r="P15" s="409"/>
      <c r="Q15" s="409"/>
      <c r="R15" s="119">
        <v>0.16</v>
      </c>
      <c r="S15" s="98"/>
      <c r="T15" s="98"/>
      <c r="U15" s="98"/>
    </row>
    <row r="16" spans="1:22" ht="15.6" x14ac:dyDescent="0.3">
      <c r="B16" s="116"/>
      <c r="C16" s="120"/>
      <c r="D16" s="120"/>
      <c r="E16" s="120"/>
      <c r="F16" s="120"/>
      <c r="G16" s="120"/>
      <c r="H16" s="120"/>
      <c r="I16" s="121"/>
      <c r="J16" s="121"/>
      <c r="K16" s="121"/>
      <c r="L16" s="121"/>
      <c r="M16" s="121"/>
      <c r="N16" s="121"/>
      <c r="O16" s="121"/>
      <c r="P16" s="121"/>
      <c r="Q16" s="121"/>
      <c r="R16" s="98"/>
      <c r="S16" s="98"/>
      <c r="T16" s="98"/>
      <c r="U16" s="98"/>
    </row>
    <row r="17" spans="2:35" ht="84" customHeight="1" x14ac:dyDescent="0.3">
      <c r="B17" s="210" t="s">
        <v>92</v>
      </c>
      <c r="C17" s="409" t="s">
        <v>292</v>
      </c>
      <c r="D17" s="408"/>
      <c r="E17" s="408"/>
      <c r="F17" s="408"/>
      <c r="G17" s="408"/>
      <c r="H17" s="408"/>
      <c r="I17" s="408"/>
      <c r="J17" s="408"/>
      <c r="K17" s="408"/>
      <c r="L17" s="408"/>
      <c r="M17" s="408"/>
      <c r="N17" s="408"/>
      <c r="O17" s="408"/>
      <c r="P17" s="408"/>
      <c r="Q17" s="408"/>
      <c r="R17" s="117" t="s">
        <v>87</v>
      </c>
      <c r="S17" s="122" t="s">
        <v>46</v>
      </c>
      <c r="T17" s="98"/>
      <c r="U17" s="98"/>
    </row>
    <row r="18" spans="2:35" ht="20.25" customHeight="1" x14ac:dyDescent="0.3">
      <c r="B18" s="112"/>
      <c r="C18" s="409" t="s">
        <v>86</v>
      </c>
      <c r="D18" s="409"/>
      <c r="E18" s="409"/>
      <c r="F18" s="409"/>
      <c r="G18" s="409"/>
      <c r="H18" s="409"/>
      <c r="I18" s="409"/>
      <c r="J18" s="409"/>
      <c r="K18" s="409"/>
      <c r="L18" s="409"/>
      <c r="M18" s="409"/>
      <c r="N18" s="409"/>
      <c r="O18" s="409"/>
      <c r="P18" s="409"/>
      <c r="Q18" s="409"/>
      <c r="R18" s="119">
        <v>0.2</v>
      </c>
      <c r="S18" s="293">
        <f>IF(lenHData="","",IF(TotMiles=0,0,IF(lenHData/TotMiles*100&gt;100,100,lenHData/TotMiles*100)))</f>
        <v>100</v>
      </c>
      <c r="T18" s="98"/>
      <c r="U18" s="98"/>
    </row>
    <row r="19" spans="2:35" ht="16.5" customHeight="1" x14ac:dyDescent="0.3">
      <c r="B19" s="116"/>
      <c r="C19" s="120"/>
      <c r="D19" s="120"/>
      <c r="E19" s="123"/>
      <c r="F19" s="123"/>
      <c r="G19" s="123"/>
      <c r="H19" s="123"/>
      <c r="I19" s="121"/>
      <c r="J19" s="121"/>
      <c r="K19" s="121"/>
      <c r="L19" s="121"/>
      <c r="M19" s="121"/>
      <c r="N19" s="121"/>
      <c r="O19" s="121"/>
      <c r="P19" s="121"/>
      <c r="Q19" s="121"/>
      <c r="R19" s="98"/>
      <c r="S19" s="98"/>
      <c r="T19" s="98"/>
      <c r="U19" s="98"/>
    </row>
    <row r="20" spans="2:35" ht="52.5" customHeight="1" x14ac:dyDescent="0.3">
      <c r="B20" s="211"/>
      <c r="C20" s="453" t="s">
        <v>296</v>
      </c>
      <c r="D20" s="453"/>
      <c r="E20" s="453"/>
      <c r="F20" s="453"/>
      <c r="G20" s="453"/>
      <c r="H20" s="453"/>
      <c r="I20" s="453"/>
      <c r="J20" s="453"/>
      <c r="K20" s="453"/>
      <c r="L20" s="453"/>
      <c r="M20" s="453"/>
      <c r="N20" s="453"/>
      <c r="O20" s="292"/>
      <c r="P20" s="454" t="s">
        <v>407</v>
      </c>
      <c r="Q20" s="454"/>
      <c r="R20" s="454"/>
      <c r="S20" s="454"/>
      <c r="T20" s="98"/>
      <c r="U20" s="98"/>
    </row>
    <row r="21" spans="2:35" ht="15.6" x14ac:dyDescent="0.3">
      <c r="B21" s="112"/>
      <c r="C21" s="120"/>
      <c r="D21" s="120"/>
      <c r="E21" s="120"/>
      <c r="F21" s="120"/>
      <c r="G21" s="120"/>
      <c r="H21" s="120"/>
      <c r="I21" s="121"/>
      <c r="J21" s="121"/>
      <c r="K21" s="121"/>
      <c r="L21" s="121"/>
      <c r="M21" s="121"/>
      <c r="N21" s="121"/>
      <c r="O21" s="121"/>
      <c r="P21" s="121"/>
      <c r="Q21" s="121"/>
      <c r="R21" s="98"/>
      <c r="S21" s="98"/>
      <c r="T21" s="98"/>
      <c r="U21" s="98"/>
    </row>
    <row r="22" spans="2:35" ht="49.5" customHeight="1" x14ac:dyDescent="0.3">
      <c r="B22" s="115" t="s">
        <v>77</v>
      </c>
      <c r="C22" s="408" t="s">
        <v>297</v>
      </c>
      <c r="D22" s="408"/>
      <c r="E22" s="408"/>
      <c r="F22" s="408"/>
      <c r="G22" s="408"/>
      <c r="H22" s="408"/>
      <c r="I22" s="408"/>
      <c r="J22" s="408"/>
      <c r="K22" s="408"/>
      <c r="L22" s="408"/>
      <c r="M22" s="408"/>
      <c r="N22" s="408"/>
      <c r="O22" s="408"/>
      <c r="P22" s="408"/>
      <c r="Q22" s="408"/>
      <c r="R22" s="408"/>
      <c r="S22" s="408"/>
      <c r="T22" s="98"/>
      <c r="U22" s="98"/>
    </row>
    <row r="23" spans="2:35" ht="12" customHeight="1" x14ac:dyDescent="0.3">
      <c r="B23" s="112"/>
      <c r="C23" s="120"/>
      <c r="D23" s="120"/>
      <c r="E23" s="124"/>
      <c r="F23" s="124"/>
      <c r="G23" s="124"/>
      <c r="H23" s="124"/>
      <c r="I23" s="124"/>
      <c r="J23" s="124"/>
      <c r="K23" s="124"/>
      <c r="L23" s="120"/>
      <c r="M23" s="120"/>
      <c r="N23" s="120"/>
      <c r="O23" s="120"/>
      <c r="P23" s="120"/>
      <c r="Q23" s="120"/>
      <c r="R23" s="98"/>
      <c r="S23" s="98"/>
      <c r="T23" s="98"/>
      <c r="U23" s="98"/>
    </row>
    <row r="24" spans="2:35" ht="21" customHeight="1" thickBot="1" x14ac:dyDescent="0.35">
      <c r="B24" s="416" t="s">
        <v>111</v>
      </c>
      <c r="C24" s="416" t="s">
        <v>87</v>
      </c>
      <c r="D24" s="455" t="s">
        <v>228</v>
      </c>
      <c r="E24" s="456"/>
      <c r="F24" s="457"/>
      <c r="G24" s="305"/>
      <c r="H24" s="438" t="s">
        <v>229</v>
      </c>
      <c r="I24" s="439"/>
      <c r="J24" s="439"/>
      <c r="K24" s="440"/>
      <c r="L24" s="458" t="s">
        <v>126</v>
      </c>
      <c r="M24" s="459"/>
      <c r="N24" s="459"/>
      <c r="O24" s="459"/>
      <c r="P24" s="459"/>
      <c r="Q24" s="459"/>
      <c r="R24" s="459"/>
      <c r="S24" s="459"/>
      <c r="T24" s="459"/>
      <c r="U24" s="459"/>
      <c r="V24" s="459"/>
      <c r="W24" s="459"/>
      <c r="X24" s="459"/>
      <c r="Y24" s="459"/>
      <c r="Z24" s="460"/>
      <c r="AA24" s="48"/>
      <c r="AB24" s="48"/>
      <c r="AC24" s="48"/>
      <c r="AD24" s="48"/>
      <c r="AE24" s="48"/>
      <c r="AF24" s="48"/>
      <c r="AG24" s="48"/>
      <c r="AH24" s="48"/>
      <c r="AI24" s="49"/>
    </row>
    <row r="25" spans="2:35" ht="24" customHeight="1" x14ac:dyDescent="0.3">
      <c r="B25" s="417"/>
      <c r="C25" s="417"/>
      <c r="D25" s="430" t="s">
        <v>14</v>
      </c>
      <c r="E25" s="432" t="s">
        <v>11</v>
      </c>
      <c r="F25" s="430" t="s">
        <v>12</v>
      </c>
      <c r="G25" s="437" t="s">
        <v>427</v>
      </c>
      <c r="H25" s="416" t="s">
        <v>127</v>
      </c>
      <c r="I25" s="402" t="s">
        <v>242</v>
      </c>
      <c r="J25" s="402"/>
      <c r="K25" s="423" t="s">
        <v>263</v>
      </c>
      <c r="L25" s="444" t="s">
        <v>14</v>
      </c>
      <c r="M25" s="445"/>
      <c r="N25" s="446"/>
      <c r="O25" s="447" t="s">
        <v>11</v>
      </c>
      <c r="P25" s="448"/>
      <c r="Q25" s="448"/>
      <c r="R25" s="448"/>
      <c r="S25" s="449"/>
      <c r="T25" s="450" t="s">
        <v>12</v>
      </c>
      <c r="U25" s="451"/>
      <c r="V25" s="452"/>
      <c r="W25" s="434" t="s">
        <v>427</v>
      </c>
      <c r="X25" s="435"/>
      <c r="Y25" s="435"/>
      <c r="Z25" s="436"/>
      <c r="AA25" s="48"/>
      <c r="AB25" s="48"/>
      <c r="AC25" s="48"/>
      <c r="AD25" s="48"/>
      <c r="AE25" s="48"/>
      <c r="AF25" s="48"/>
      <c r="AG25" s="48"/>
      <c r="AH25" s="48"/>
    </row>
    <row r="26" spans="2:35" ht="82.5" customHeight="1" x14ac:dyDescent="0.3">
      <c r="B26" s="418"/>
      <c r="C26" s="418"/>
      <c r="D26" s="431"/>
      <c r="E26" s="433"/>
      <c r="F26" s="431"/>
      <c r="G26" s="433"/>
      <c r="H26" s="418"/>
      <c r="I26" s="125" t="s">
        <v>243</v>
      </c>
      <c r="J26" s="125" t="s">
        <v>244</v>
      </c>
      <c r="K26" s="424"/>
      <c r="L26" s="338" t="s">
        <v>112</v>
      </c>
      <c r="M26" s="310" t="s">
        <v>113</v>
      </c>
      <c r="N26" s="339" t="s">
        <v>114</v>
      </c>
      <c r="O26" s="340" t="s">
        <v>115</v>
      </c>
      <c r="P26" s="311" t="s">
        <v>116</v>
      </c>
      <c r="Q26" s="311" t="s">
        <v>166</v>
      </c>
      <c r="R26" s="311" t="s">
        <v>163</v>
      </c>
      <c r="S26" s="341" t="s">
        <v>164</v>
      </c>
      <c r="T26" s="338" t="s">
        <v>118</v>
      </c>
      <c r="U26" s="310" t="s">
        <v>119</v>
      </c>
      <c r="V26" s="339" t="s">
        <v>120</v>
      </c>
      <c r="W26" s="340" t="s">
        <v>429</v>
      </c>
      <c r="X26" s="311" t="s">
        <v>431</v>
      </c>
      <c r="Y26" s="311" t="s">
        <v>437</v>
      </c>
      <c r="Z26" s="341" t="s">
        <v>435</v>
      </c>
    </row>
    <row r="27" spans="2:35" ht="15.6" x14ac:dyDescent="0.3">
      <c r="B27" s="126">
        <v>1</v>
      </c>
      <c r="C27" s="202">
        <v>0.2</v>
      </c>
      <c r="D27" s="128"/>
      <c r="E27" s="128" t="s">
        <v>417</v>
      </c>
      <c r="F27" s="128" t="s">
        <v>417</v>
      </c>
      <c r="G27" s="290" t="s">
        <v>417</v>
      </c>
      <c r="H27" s="129">
        <v>2015</v>
      </c>
      <c r="I27" s="129">
        <v>1115</v>
      </c>
      <c r="J27" s="129"/>
      <c r="K27" s="332">
        <f>IF(I27="","",(I27+J27))</f>
        <v>1115</v>
      </c>
      <c r="L27" s="333"/>
      <c r="M27" s="304"/>
      <c r="N27" s="334"/>
      <c r="O27" s="333">
        <v>1</v>
      </c>
      <c r="P27" s="304">
        <v>1</v>
      </c>
      <c r="Q27" s="304">
        <v>1</v>
      </c>
      <c r="R27" s="304">
        <v>1</v>
      </c>
      <c r="S27" s="334">
        <v>1</v>
      </c>
      <c r="T27" s="333">
        <v>1</v>
      </c>
      <c r="U27" s="304">
        <v>1</v>
      </c>
      <c r="V27" s="334">
        <v>1</v>
      </c>
      <c r="W27" s="333">
        <v>1</v>
      </c>
      <c r="X27" s="304">
        <v>1</v>
      </c>
      <c r="Y27" s="304">
        <v>1</v>
      </c>
      <c r="Z27" s="334">
        <v>2</v>
      </c>
    </row>
    <row r="28" spans="2:35" ht="15.6" x14ac:dyDescent="0.3">
      <c r="B28" s="126">
        <v>2</v>
      </c>
      <c r="C28" s="202"/>
      <c r="D28" s="128"/>
      <c r="E28" s="128"/>
      <c r="F28" s="128"/>
      <c r="G28" s="290"/>
      <c r="H28" s="129"/>
      <c r="I28" s="129"/>
      <c r="J28" s="129"/>
      <c r="K28" s="332" t="str">
        <f t="shared" ref="K28:K36" si="0">IF(I28="","",(I28+J28))</f>
        <v/>
      </c>
      <c r="L28" s="333"/>
      <c r="M28" s="304"/>
      <c r="N28" s="334"/>
      <c r="O28" s="333"/>
      <c r="P28" s="304"/>
      <c r="Q28" s="304"/>
      <c r="R28" s="304"/>
      <c r="S28" s="334"/>
      <c r="T28" s="333"/>
      <c r="U28" s="304"/>
      <c r="V28" s="334"/>
      <c r="W28" s="333"/>
      <c r="X28" s="304"/>
      <c r="Y28" s="304"/>
      <c r="Z28" s="334"/>
    </row>
    <row r="29" spans="2:35" ht="15" customHeight="1" x14ac:dyDescent="0.3">
      <c r="B29" s="126">
        <v>3</v>
      </c>
      <c r="C29" s="202"/>
      <c r="D29" s="128"/>
      <c r="E29" s="128"/>
      <c r="F29" s="128"/>
      <c r="G29" s="290"/>
      <c r="H29" s="129"/>
      <c r="I29" s="129"/>
      <c r="J29" s="129"/>
      <c r="K29" s="332" t="str">
        <f t="shared" si="0"/>
        <v/>
      </c>
      <c r="L29" s="333"/>
      <c r="M29" s="304"/>
      <c r="N29" s="334"/>
      <c r="O29" s="333"/>
      <c r="P29" s="304"/>
      <c r="Q29" s="304"/>
      <c r="R29" s="304"/>
      <c r="S29" s="334"/>
      <c r="T29" s="333"/>
      <c r="U29" s="304"/>
      <c r="V29" s="334"/>
      <c r="W29" s="333"/>
      <c r="X29" s="304"/>
      <c r="Y29" s="304"/>
      <c r="Z29" s="334"/>
    </row>
    <row r="30" spans="2:35" ht="15" customHeight="1" x14ac:dyDescent="0.3">
      <c r="B30" s="126">
        <v>4</v>
      </c>
      <c r="C30" s="202"/>
      <c r="D30" s="128"/>
      <c r="E30" s="128"/>
      <c r="F30" s="128"/>
      <c r="G30" s="290"/>
      <c r="H30" s="129"/>
      <c r="I30" s="129"/>
      <c r="J30" s="129"/>
      <c r="K30" s="332" t="str">
        <f t="shared" si="0"/>
        <v/>
      </c>
      <c r="L30" s="333"/>
      <c r="M30" s="304"/>
      <c r="N30" s="334"/>
      <c r="O30" s="333"/>
      <c r="P30" s="304"/>
      <c r="Q30" s="304"/>
      <c r="R30" s="304"/>
      <c r="S30" s="334"/>
      <c r="T30" s="333"/>
      <c r="U30" s="304"/>
      <c r="V30" s="334"/>
      <c r="W30" s="333"/>
      <c r="X30" s="304"/>
      <c r="Y30" s="304"/>
      <c r="Z30" s="334"/>
    </row>
    <row r="31" spans="2:35" ht="15" customHeight="1" x14ac:dyDescent="0.3">
      <c r="B31" s="126">
        <v>5</v>
      </c>
      <c r="C31" s="127"/>
      <c r="D31" s="128"/>
      <c r="E31" s="128"/>
      <c r="F31" s="128"/>
      <c r="G31" s="290"/>
      <c r="H31" s="129"/>
      <c r="I31" s="129"/>
      <c r="J31" s="129"/>
      <c r="K31" s="332" t="str">
        <f t="shared" si="0"/>
        <v/>
      </c>
      <c r="L31" s="333"/>
      <c r="M31" s="304"/>
      <c r="N31" s="334"/>
      <c r="O31" s="333"/>
      <c r="P31" s="304"/>
      <c r="Q31" s="304"/>
      <c r="R31" s="304"/>
      <c r="S31" s="334"/>
      <c r="T31" s="333"/>
      <c r="U31" s="304"/>
      <c r="V31" s="334"/>
      <c r="W31" s="333"/>
      <c r="X31" s="304"/>
      <c r="Y31" s="304"/>
      <c r="Z31" s="334"/>
    </row>
    <row r="32" spans="2:35" ht="15.6" x14ac:dyDescent="0.3">
      <c r="B32" s="126">
        <v>6</v>
      </c>
      <c r="C32" s="127"/>
      <c r="D32" s="128"/>
      <c r="E32" s="128"/>
      <c r="F32" s="128"/>
      <c r="G32" s="290"/>
      <c r="H32" s="129"/>
      <c r="I32" s="129"/>
      <c r="J32" s="129"/>
      <c r="K32" s="332" t="str">
        <f t="shared" si="0"/>
        <v/>
      </c>
      <c r="L32" s="333"/>
      <c r="M32" s="304"/>
      <c r="N32" s="334"/>
      <c r="O32" s="333"/>
      <c r="P32" s="304"/>
      <c r="Q32" s="304"/>
      <c r="R32" s="304"/>
      <c r="S32" s="334"/>
      <c r="T32" s="333"/>
      <c r="U32" s="304"/>
      <c r="V32" s="334"/>
      <c r="W32" s="333"/>
      <c r="X32" s="304"/>
      <c r="Y32" s="304"/>
      <c r="Z32" s="334"/>
    </row>
    <row r="33" spans="1:26" ht="15.6" x14ac:dyDescent="0.3">
      <c r="B33" s="126">
        <v>7</v>
      </c>
      <c r="C33" s="127"/>
      <c r="D33" s="128"/>
      <c r="E33" s="128"/>
      <c r="F33" s="128"/>
      <c r="G33" s="290"/>
      <c r="H33" s="129"/>
      <c r="I33" s="129"/>
      <c r="J33" s="129"/>
      <c r="K33" s="332" t="str">
        <f>IF(I33="","",(I33+J33))</f>
        <v/>
      </c>
      <c r="L33" s="333"/>
      <c r="M33" s="304"/>
      <c r="N33" s="334"/>
      <c r="O33" s="333"/>
      <c r="P33" s="304"/>
      <c r="Q33" s="304"/>
      <c r="R33" s="304"/>
      <c r="S33" s="334"/>
      <c r="T33" s="333"/>
      <c r="U33" s="304"/>
      <c r="V33" s="334"/>
      <c r="W33" s="333"/>
      <c r="X33" s="304"/>
      <c r="Y33" s="304"/>
      <c r="Z33" s="334"/>
    </row>
    <row r="34" spans="1:26" ht="15.6" x14ac:dyDescent="0.3">
      <c r="B34" s="126">
        <v>8</v>
      </c>
      <c r="C34" s="127"/>
      <c r="D34" s="128"/>
      <c r="E34" s="128"/>
      <c r="F34" s="128"/>
      <c r="G34" s="290"/>
      <c r="H34" s="129"/>
      <c r="I34" s="129"/>
      <c r="J34" s="129"/>
      <c r="K34" s="332" t="str">
        <f>IF(I34="","",(I34+J34))</f>
        <v/>
      </c>
      <c r="L34" s="333"/>
      <c r="M34" s="304"/>
      <c r="N34" s="334"/>
      <c r="O34" s="333"/>
      <c r="P34" s="304"/>
      <c r="Q34" s="304"/>
      <c r="R34" s="304"/>
      <c r="S34" s="334"/>
      <c r="T34" s="333"/>
      <c r="U34" s="304"/>
      <c r="V34" s="334"/>
      <c r="W34" s="333"/>
      <c r="X34" s="304"/>
      <c r="Y34" s="304"/>
      <c r="Z34" s="334"/>
    </row>
    <row r="35" spans="1:26" ht="15.6" x14ac:dyDescent="0.3">
      <c r="B35" s="126">
        <v>9</v>
      </c>
      <c r="C35" s="127"/>
      <c r="D35" s="128"/>
      <c r="E35" s="128"/>
      <c r="F35" s="128"/>
      <c r="G35" s="290"/>
      <c r="H35" s="129"/>
      <c r="I35" s="129"/>
      <c r="J35" s="129"/>
      <c r="K35" s="332" t="str">
        <f>IF(I35="","",(I35+J35))</f>
        <v/>
      </c>
      <c r="L35" s="333"/>
      <c r="M35" s="304"/>
      <c r="N35" s="334"/>
      <c r="O35" s="333"/>
      <c r="P35" s="304"/>
      <c r="Q35" s="304"/>
      <c r="R35" s="304"/>
      <c r="S35" s="334"/>
      <c r="T35" s="333"/>
      <c r="U35" s="304"/>
      <c r="V35" s="334"/>
      <c r="W35" s="333"/>
      <c r="X35" s="304"/>
      <c r="Y35" s="304"/>
      <c r="Z35" s="334"/>
    </row>
    <row r="36" spans="1:26" ht="16.2" thickBot="1" x14ac:dyDescent="0.35">
      <c r="B36" s="126">
        <v>10</v>
      </c>
      <c r="C36" s="127"/>
      <c r="D36" s="128"/>
      <c r="E36" s="128"/>
      <c r="F36" s="128"/>
      <c r="G36" s="290"/>
      <c r="H36" s="130"/>
      <c r="I36" s="130"/>
      <c r="J36" s="130"/>
      <c r="K36" s="332" t="str">
        <f t="shared" si="0"/>
        <v/>
      </c>
      <c r="L36" s="335"/>
      <c r="M36" s="336"/>
      <c r="N36" s="337"/>
      <c r="O36" s="335"/>
      <c r="P36" s="336"/>
      <c r="Q36" s="336"/>
      <c r="R36" s="336"/>
      <c r="S36" s="337"/>
      <c r="T36" s="335"/>
      <c r="U36" s="336"/>
      <c r="V36" s="337"/>
      <c r="W36" s="335"/>
      <c r="X36" s="336"/>
      <c r="Y36" s="336"/>
      <c r="Z36" s="337"/>
    </row>
    <row r="37" spans="1:26" hidden="1" x14ac:dyDescent="0.3">
      <c r="B37" s="85"/>
      <c r="C37" s="37"/>
      <c r="D37" s="37"/>
      <c r="E37" s="37"/>
      <c r="F37" s="37"/>
      <c r="G37" s="37"/>
      <c r="H37" s="37"/>
      <c r="I37" s="27"/>
      <c r="J37" s="51"/>
      <c r="K37" s="51"/>
      <c r="L37" s="51"/>
      <c r="M37" s="51"/>
      <c r="N37" s="51"/>
      <c r="O37" s="51"/>
      <c r="P37" s="51"/>
      <c r="Q37" s="51"/>
      <c r="R37" s="51"/>
      <c r="S37" s="51"/>
      <c r="T37" s="51"/>
      <c r="U37" s="51"/>
      <c r="V37" s="51"/>
    </row>
    <row r="38" spans="1:26" ht="80.25" hidden="1" customHeight="1" x14ac:dyDescent="0.3">
      <c r="B38" s="85"/>
      <c r="C38" s="37"/>
      <c r="D38" s="37"/>
      <c r="E38" s="37"/>
      <c r="F38" s="37"/>
      <c r="G38" s="37"/>
      <c r="H38" s="37"/>
      <c r="I38" s="426" t="s">
        <v>40</v>
      </c>
      <c r="J38" s="427"/>
      <c r="K38" s="52" t="s">
        <v>14</v>
      </c>
      <c r="L38" s="52" t="s">
        <v>15</v>
      </c>
      <c r="M38" s="52" t="s">
        <v>13</v>
      </c>
      <c r="N38" s="52" t="s">
        <v>12</v>
      </c>
      <c r="O38" s="52" t="s">
        <v>11</v>
      </c>
      <c r="P38" s="52"/>
      <c r="Q38" s="52"/>
      <c r="R38" s="52"/>
      <c r="S38" s="52"/>
      <c r="T38" s="52"/>
      <c r="U38" s="52" t="s">
        <v>38</v>
      </c>
      <c r="V38" s="52"/>
    </row>
    <row r="39" spans="1:26" ht="63.75" hidden="1" customHeight="1" x14ac:dyDescent="0.3">
      <c r="B39" s="85"/>
      <c r="C39" s="37"/>
      <c r="D39" s="37"/>
      <c r="E39" s="37"/>
      <c r="F39" s="37"/>
      <c r="G39" s="37"/>
      <c r="H39" s="37"/>
      <c r="I39" s="428" t="s">
        <v>56</v>
      </c>
      <c r="J39" s="429"/>
      <c r="K39" s="53" t="e">
        <f>(#REF!*3)+(#REF!*2)/(#REF!+#REF!)</f>
        <v>#REF!</v>
      </c>
      <c r="L39" s="53"/>
      <c r="M39" s="53"/>
      <c r="N39" s="53"/>
      <c r="O39" s="53"/>
      <c r="P39" s="53"/>
      <c r="Q39" s="53"/>
      <c r="R39" s="53"/>
      <c r="S39" s="53"/>
      <c r="T39" s="53"/>
      <c r="U39" s="53"/>
      <c r="V39" s="53"/>
    </row>
    <row r="40" spans="1:26" ht="25.5" hidden="1" customHeight="1" x14ac:dyDescent="0.3">
      <c r="B40" s="85"/>
      <c r="C40" s="37"/>
      <c r="D40" s="37"/>
      <c r="E40" s="37"/>
      <c r="F40" s="37"/>
      <c r="G40" s="37"/>
      <c r="H40" s="37"/>
      <c r="I40" s="428" t="s">
        <v>57</v>
      </c>
      <c r="J40" s="429"/>
      <c r="K40" s="53"/>
      <c r="L40" s="53"/>
      <c r="M40" s="53"/>
      <c r="N40" s="53"/>
      <c r="O40" s="53"/>
      <c r="P40" s="53"/>
      <c r="Q40" s="53"/>
      <c r="R40" s="53"/>
      <c r="S40" s="53"/>
      <c r="T40" s="53"/>
      <c r="U40" s="53"/>
      <c r="V40" s="53"/>
    </row>
    <row r="41" spans="1:26" ht="29.25" hidden="1" customHeight="1" x14ac:dyDescent="0.3">
      <c r="B41" s="85"/>
      <c r="C41" s="37"/>
      <c r="D41" s="37"/>
      <c r="E41" s="37"/>
      <c r="F41" s="37"/>
      <c r="G41" s="37"/>
      <c r="H41" s="37"/>
      <c r="I41" s="428" t="s">
        <v>58</v>
      </c>
      <c r="J41" s="429"/>
      <c r="K41" s="53"/>
      <c r="L41" s="53"/>
      <c r="M41" s="53"/>
      <c r="N41" s="53"/>
      <c r="O41" s="53"/>
      <c r="P41" s="53"/>
      <c r="Q41" s="53"/>
      <c r="R41" s="53"/>
      <c r="S41" s="53"/>
      <c r="T41" s="53"/>
      <c r="U41" s="53"/>
      <c r="V41" s="53"/>
    </row>
    <row r="42" spans="1:26" ht="15" hidden="1" customHeight="1" x14ac:dyDescent="0.3">
      <c r="B42" s="85"/>
      <c r="C42" s="37"/>
      <c r="D42" s="37"/>
      <c r="E42" s="37"/>
      <c r="F42" s="37"/>
      <c r="G42" s="37"/>
      <c r="H42" s="37"/>
      <c r="I42" s="425" t="s">
        <v>35</v>
      </c>
      <c r="J42" s="425"/>
      <c r="K42" s="54"/>
      <c r="L42" s="28"/>
      <c r="M42" s="28"/>
      <c r="N42" s="28"/>
      <c r="O42" s="28"/>
      <c r="P42" s="28"/>
      <c r="Q42" s="28"/>
      <c r="R42" s="28"/>
      <c r="S42" s="28"/>
      <c r="T42" s="28"/>
      <c r="U42" s="28"/>
      <c r="V42" s="28"/>
    </row>
    <row r="43" spans="1:26" hidden="1" x14ac:dyDescent="0.3">
      <c r="B43" s="85"/>
      <c r="C43" s="37"/>
      <c r="D43" s="37"/>
      <c r="E43" s="37"/>
      <c r="F43" s="37"/>
      <c r="G43" s="37"/>
      <c r="H43" s="37"/>
      <c r="I43" s="37"/>
      <c r="J43" s="21"/>
      <c r="K43" s="21"/>
      <c r="L43" s="84"/>
      <c r="M43" s="84"/>
      <c r="N43" s="84"/>
      <c r="O43" s="84"/>
      <c r="P43" s="84"/>
      <c r="Q43" s="84"/>
      <c r="R43" s="84"/>
      <c r="S43" s="84"/>
      <c r="T43" s="84"/>
      <c r="U43" s="84"/>
      <c r="V43" s="84"/>
    </row>
    <row r="44" spans="1:26" x14ac:dyDescent="0.3">
      <c r="B44" s="85"/>
      <c r="C44" s="37"/>
      <c r="D44" s="37"/>
      <c r="E44" s="37"/>
      <c r="F44" s="37"/>
      <c r="G44" s="37"/>
      <c r="H44" s="37"/>
      <c r="I44" s="37"/>
      <c r="J44" s="21"/>
      <c r="K44" s="21"/>
      <c r="L44" s="84"/>
      <c r="M44" s="84"/>
      <c r="N44" s="84"/>
      <c r="O44" s="84"/>
      <c r="P44" s="84"/>
      <c r="Q44" s="84"/>
      <c r="R44" s="84"/>
      <c r="S44" s="84"/>
      <c r="T44" s="84"/>
      <c r="U44" s="84"/>
      <c r="V44" s="84"/>
    </row>
    <row r="45" spans="1:26" s="23" customFormat="1" ht="13.5" customHeight="1" x14ac:dyDescent="0.3">
      <c r="A45" s="294"/>
      <c r="B45" s="50"/>
      <c r="C45" s="90"/>
      <c r="D45" s="342" t="s">
        <v>182</v>
      </c>
      <c r="E45" s="342"/>
      <c r="F45" s="342"/>
      <c r="G45" s="342"/>
      <c r="I45" s="300"/>
      <c r="J45" s="300"/>
      <c r="K45" s="300"/>
      <c r="L45" s="300"/>
      <c r="M45" s="300"/>
      <c r="N45" s="300"/>
      <c r="O45" s="300"/>
      <c r="P45" s="300"/>
      <c r="Q45" s="300"/>
      <c r="R45" s="300"/>
      <c r="S45" s="300"/>
      <c r="T45" s="300"/>
      <c r="U45" s="90"/>
      <c r="V45" s="90"/>
    </row>
    <row r="46" spans="1:26" ht="13.95" customHeight="1" x14ac:dyDescent="0.3">
      <c r="B46" s="55"/>
      <c r="D46" s="213" t="s">
        <v>112</v>
      </c>
      <c r="E46" s="70" t="s">
        <v>179</v>
      </c>
      <c r="G46" s="70"/>
      <c r="I46" s="303" t="s">
        <v>115</v>
      </c>
      <c r="J46" s="70" t="s">
        <v>180</v>
      </c>
      <c r="K46" s="70"/>
      <c r="L46" s="300"/>
      <c r="M46" s="300"/>
      <c r="N46" s="300"/>
      <c r="O46" s="71" t="s">
        <v>118</v>
      </c>
      <c r="P46" s="70" t="s">
        <v>181</v>
      </c>
      <c r="Q46" s="90"/>
      <c r="T46" s="71" t="s">
        <v>429</v>
      </c>
      <c r="U46" s="70" t="s">
        <v>430</v>
      </c>
      <c r="V46" s="90"/>
    </row>
    <row r="47" spans="1:26" ht="13.95" customHeight="1" x14ac:dyDescent="0.3">
      <c r="B47" s="55"/>
      <c r="D47" s="213" t="s">
        <v>113</v>
      </c>
      <c r="E47" s="70" t="s">
        <v>189</v>
      </c>
      <c r="G47" s="70"/>
      <c r="I47" s="213" t="s">
        <v>116</v>
      </c>
      <c r="J47" s="70" t="s">
        <v>191</v>
      </c>
      <c r="K47" s="70"/>
      <c r="M47" s="70"/>
      <c r="O47" s="71" t="s">
        <v>119</v>
      </c>
      <c r="P47" s="70" t="s">
        <v>195</v>
      </c>
      <c r="T47" s="213" t="s">
        <v>431</v>
      </c>
      <c r="U47" s="70" t="s">
        <v>432</v>
      </c>
      <c r="V47" s="70"/>
    </row>
    <row r="48" spans="1:26" ht="13.95" customHeight="1" x14ac:dyDescent="0.3">
      <c r="B48" s="55"/>
      <c r="D48" s="213" t="s">
        <v>114</v>
      </c>
      <c r="E48" s="70" t="s">
        <v>190</v>
      </c>
      <c r="G48" s="70"/>
      <c r="I48" s="213" t="s">
        <v>117</v>
      </c>
      <c r="J48" s="70" t="s">
        <v>192</v>
      </c>
      <c r="K48" s="70"/>
      <c r="M48" s="70"/>
      <c r="O48" s="71" t="s">
        <v>120</v>
      </c>
      <c r="P48" s="70" t="s">
        <v>196</v>
      </c>
      <c r="T48" s="213" t="s">
        <v>433</v>
      </c>
      <c r="U48" s="70" t="s">
        <v>434</v>
      </c>
      <c r="V48" s="70"/>
    </row>
    <row r="49" spans="2:22" ht="13.95" customHeight="1" x14ac:dyDescent="0.3">
      <c r="B49" s="55"/>
      <c r="E49" s="213"/>
      <c r="F49" s="70"/>
      <c r="I49" s="213" t="s">
        <v>163</v>
      </c>
      <c r="J49" s="70" t="s">
        <v>193</v>
      </c>
      <c r="M49" s="70"/>
      <c r="T49" s="213" t="s">
        <v>435</v>
      </c>
      <c r="U49" s="70" t="s">
        <v>436</v>
      </c>
    </row>
    <row r="50" spans="2:22" ht="13.95" customHeight="1" x14ac:dyDescent="0.3">
      <c r="B50" s="55"/>
      <c r="E50" s="213"/>
      <c r="F50" s="70"/>
      <c r="I50" s="213" t="s">
        <v>164</v>
      </c>
      <c r="J50" s="70" t="s">
        <v>194</v>
      </c>
      <c r="M50" s="70"/>
      <c r="T50" s="213"/>
      <c r="U50" s="70"/>
    </row>
    <row r="51" spans="2:22" ht="13.95" customHeight="1" x14ac:dyDescent="0.3">
      <c r="B51" s="55"/>
      <c r="E51" s="213"/>
      <c r="F51" s="70"/>
      <c r="I51" s="213"/>
      <c r="J51" s="70"/>
      <c r="M51" s="70"/>
      <c r="T51" s="213"/>
      <c r="U51" s="70"/>
    </row>
    <row r="52" spans="2:22" s="18" customFormat="1" ht="16.5" customHeight="1" x14ac:dyDescent="0.3">
      <c r="B52" s="50"/>
      <c r="C52" s="421" t="s">
        <v>225</v>
      </c>
      <c r="D52" s="421"/>
      <c r="E52" s="421"/>
      <c r="F52" s="421"/>
      <c r="G52" s="421"/>
      <c r="H52" s="421"/>
      <c r="I52" s="421"/>
      <c r="J52" s="421"/>
      <c r="K52" s="421"/>
      <c r="L52" s="421"/>
      <c r="M52" s="421"/>
      <c r="N52" s="421"/>
      <c r="O52" s="421"/>
      <c r="P52" s="421"/>
      <c r="Q52" s="421"/>
      <c r="R52" s="421"/>
      <c r="S52" s="421"/>
      <c r="T52" s="69"/>
      <c r="U52" s="83"/>
      <c r="V52" s="83"/>
    </row>
    <row r="53" spans="2:22" s="18" customFormat="1" ht="47.25" customHeight="1" x14ac:dyDescent="0.3">
      <c r="B53" s="50"/>
      <c r="C53" s="422" t="s">
        <v>428</v>
      </c>
      <c r="D53" s="422"/>
      <c r="E53" s="422"/>
      <c r="F53" s="422"/>
      <c r="G53" s="422"/>
      <c r="H53" s="422"/>
      <c r="I53" s="422"/>
      <c r="J53" s="422"/>
      <c r="K53" s="422"/>
      <c r="L53" s="422"/>
      <c r="M53" s="422"/>
      <c r="N53" s="422"/>
      <c r="O53" s="422"/>
      <c r="P53" s="422"/>
      <c r="Q53" s="422"/>
      <c r="R53" s="422"/>
      <c r="S53" s="422"/>
      <c r="T53" s="69"/>
      <c r="U53" s="83"/>
      <c r="V53" s="83"/>
    </row>
    <row r="54" spans="2:22" x14ac:dyDescent="0.3">
      <c r="B54" s="55"/>
    </row>
    <row r="55" spans="2:22" x14ac:dyDescent="0.3">
      <c r="B55" s="55"/>
    </row>
    <row r="56" spans="2:22" x14ac:dyDescent="0.3">
      <c r="B56" s="55"/>
    </row>
    <row r="57" spans="2:22" x14ac:dyDescent="0.3">
      <c r="B57" s="55"/>
    </row>
    <row r="58" spans="2:22" x14ac:dyDescent="0.3">
      <c r="B58" s="55"/>
    </row>
    <row r="59" spans="2:22" x14ac:dyDescent="0.3">
      <c r="B59" s="55"/>
    </row>
    <row r="60" spans="2:22" x14ac:dyDescent="0.3">
      <c r="B60" s="55"/>
    </row>
    <row r="61" spans="2:22" x14ac:dyDescent="0.3">
      <c r="B61" s="55"/>
    </row>
    <row r="62" spans="2:22" x14ac:dyDescent="0.3">
      <c r="B62" s="55"/>
    </row>
    <row r="63" spans="2:22" x14ac:dyDescent="0.3">
      <c r="B63" s="55"/>
    </row>
    <row r="64" spans="2:22" x14ac:dyDescent="0.3">
      <c r="B64" s="55"/>
    </row>
    <row r="65" spans="2:2" x14ac:dyDescent="0.3">
      <c r="B65" s="55"/>
    </row>
    <row r="66" spans="2:2" x14ac:dyDescent="0.3">
      <c r="B66" s="55"/>
    </row>
    <row r="67" spans="2:2" x14ac:dyDescent="0.3">
      <c r="B67" s="55"/>
    </row>
    <row r="68" spans="2:2" x14ac:dyDescent="0.3">
      <c r="B68" s="55"/>
    </row>
    <row r="69" spans="2:2" x14ac:dyDescent="0.3">
      <c r="B69" s="55"/>
    </row>
    <row r="70" spans="2:2" x14ac:dyDescent="0.3">
      <c r="B70" s="55"/>
    </row>
    <row r="71" spans="2:2" x14ac:dyDescent="0.3">
      <c r="B71" s="55"/>
    </row>
    <row r="72" spans="2:2" x14ac:dyDescent="0.3">
      <c r="B72" s="55"/>
    </row>
    <row r="73" spans="2:2" x14ac:dyDescent="0.3">
      <c r="B73" s="55"/>
    </row>
    <row r="74" spans="2:2" x14ac:dyDescent="0.3">
      <c r="B74" s="55"/>
    </row>
    <row r="75" spans="2:2" x14ac:dyDescent="0.3">
      <c r="B75" s="55"/>
    </row>
    <row r="76" spans="2:2" x14ac:dyDescent="0.3">
      <c r="B76" s="55"/>
    </row>
    <row r="77" spans="2:2" x14ac:dyDescent="0.3">
      <c r="B77" s="55"/>
    </row>
    <row r="78" spans="2:2" x14ac:dyDescent="0.3">
      <c r="B78" s="55"/>
    </row>
    <row r="79" spans="2:2" x14ac:dyDescent="0.3">
      <c r="B79" s="55"/>
    </row>
    <row r="80" spans="2:2" x14ac:dyDescent="0.3">
      <c r="B80" s="55"/>
    </row>
  </sheetData>
  <mergeCells count="39">
    <mergeCell ref="W25:Z25"/>
    <mergeCell ref="G25:G26"/>
    <mergeCell ref="H24:K24"/>
    <mergeCell ref="R9:S9"/>
    <mergeCell ref="C10:O10"/>
    <mergeCell ref="L25:N25"/>
    <mergeCell ref="O25:S25"/>
    <mergeCell ref="T25:V25"/>
    <mergeCell ref="C20:N20"/>
    <mergeCell ref="P20:S20"/>
    <mergeCell ref="D24:F24"/>
    <mergeCell ref="L24:Z24"/>
    <mergeCell ref="C52:S52"/>
    <mergeCell ref="C53:S53"/>
    <mergeCell ref="K25:K26"/>
    <mergeCell ref="I42:J42"/>
    <mergeCell ref="I38:J38"/>
    <mergeCell ref="I39:J39"/>
    <mergeCell ref="I40:J40"/>
    <mergeCell ref="I41:J41"/>
    <mergeCell ref="D25:D26"/>
    <mergeCell ref="E25:E26"/>
    <mergeCell ref="F25:F26"/>
    <mergeCell ref="H25:H26"/>
    <mergeCell ref="B3:I3"/>
    <mergeCell ref="I25:J25"/>
    <mergeCell ref="C6:S6"/>
    <mergeCell ref="C8:Q8"/>
    <mergeCell ref="C9:Q9"/>
    <mergeCell ref="C14:Q14"/>
    <mergeCell ref="C15:Q15"/>
    <mergeCell ref="C17:Q17"/>
    <mergeCell ref="C18:Q18"/>
    <mergeCell ref="C22:S22"/>
    <mergeCell ref="C11:Q11"/>
    <mergeCell ref="C12:Q12"/>
    <mergeCell ref="C24:C26"/>
    <mergeCell ref="B24:B26"/>
    <mergeCell ref="R8:S8"/>
  </mergeCells>
  <conditionalFormatting sqref="P20:S20">
    <cfRule type="expression" dxfId="1" priority="1">
      <formula>$S$18&lt;80</formula>
    </cfRule>
    <cfRule type="expression" dxfId="0" priority="2">
      <formula>OR($S$18="","$R$18"&gt;=80)</formula>
    </cfRule>
  </conditionalFormatting>
  <dataValidations disablePrompts="1" count="1">
    <dataValidation type="list" allowBlank="1" showInputMessage="1" showErrorMessage="1" sqref="P10:Q10">
      <formula1>LU_Passage_Status</formula1>
    </dataValidation>
  </dataValidations>
  <printOptions horizontalCentered="1"/>
  <pageMargins left="0.5" right="0.5" top="0.5" bottom="0.5" header="0.3" footer="0.3"/>
  <pageSetup scale="69" fitToHeight="0" orientation="landscape" r:id="rId1"/>
  <headerFooter>
    <oddFooter>&amp;C&amp;P</oddFooter>
  </headerFooter>
  <rowBreaks count="1" manualBreakCount="1">
    <brk id="20"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'Dropdown lists'!$C$16:$C$19</xm:f>
          </x14:formula1>
          <xm:sqref>R9:S9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47"/>
  <sheetViews>
    <sheetView topLeftCell="A14" zoomScale="75" zoomScaleNormal="75" zoomScaleSheetLayoutView="40" zoomScalePageLayoutView="40" workbookViewId="0">
      <selection activeCell="K36" sqref="K36"/>
    </sheetView>
  </sheetViews>
  <sheetFormatPr defaultColWidth="9.109375" defaultRowHeight="13.8" x14ac:dyDescent="0.3"/>
  <cols>
    <col min="1" max="1" width="4.6640625" style="21" customWidth="1"/>
    <col min="2" max="2" width="11" style="20" customWidth="1"/>
    <col min="3" max="4" width="9.109375" style="21" customWidth="1"/>
    <col min="5" max="5" width="60.6640625" style="21" customWidth="1"/>
    <col min="6" max="6" width="10.6640625" style="20" customWidth="1"/>
    <col min="7" max="7" width="9.5546875" style="20" customWidth="1"/>
    <col min="8" max="8" width="18.5546875" style="39" hidden="1" customWidth="1"/>
    <col min="9" max="9" width="6.44140625" style="22" hidden="1" customWidth="1"/>
    <col min="10" max="10" width="6" style="21" customWidth="1"/>
    <col min="11" max="13" width="9.109375" style="21"/>
    <col min="14" max="14" width="28.109375" style="21" customWidth="1"/>
    <col min="15" max="15" width="11.109375" style="21" customWidth="1"/>
    <col min="16" max="16" width="5.5546875" style="21" customWidth="1"/>
    <col min="17" max="16384" width="9.109375" style="21"/>
  </cols>
  <sheetData>
    <row r="1" spans="2:22" ht="30" customHeight="1" x14ac:dyDescent="0.3">
      <c r="B1" s="298" t="str">
        <f>CONCATENATE('Cover Page'!B1:L1," ", 'Cover Page'!B2:L2," - RIPARIAN &amp; FLOODPLAIN")</f>
        <v>FISH PASSAGE CREDIT CALCULATOR Version 1.1 - RIPARIAN &amp; FLOODPLAIN</v>
      </c>
      <c r="C1" s="298"/>
      <c r="D1" s="298"/>
      <c r="E1" s="298"/>
      <c r="G1" s="66"/>
      <c r="H1" s="21"/>
      <c r="I1" s="44"/>
      <c r="J1" s="44"/>
      <c r="K1" s="44"/>
      <c r="L1" s="44"/>
      <c r="N1" s="44"/>
      <c r="O1" s="183"/>
      <c r="P1" s="44"/>
      <c r="Q1" s="44"/>
      <c r="R1" s="44"/>
      <c r="S1" s="23"/>
      <c r="T1" s="23"/>
      <c r="U1" s="45"/>
      <c r="V1" s="23"/>
    </row>
    <row r="2" spans="2:22" s="43" customFormat="1" x14ac:dyDescent="0.3">
      <c r="B2" s="30"/>
      <c r="C2" s="30"/>
      <c r="D2" s="30"/>
      <c r="E2" s="30"/>
      <c r="F2" s="46"/>
      <c r="G2" s="46"/>
      <c r="H2" s="34"/>
      <c r="I2" s="34"/>
      <c r="J2" s="34"/>
      <c r="K2" s="34"/>
      <c r="L2" s="34"/>
      <c r="M2" s="34"/>
      <c r="N2" s="34"/>
      <c r="O2" s="34"/>
      <c r="P2" s="34"/>
      <c r="Q2" s="34"/>
      <c r="R2" s="34"/>
      <c r="S2" s="29"/>
      <c r="T2" s="29"/>
      <c r="U2" s="30"/>
      <c r="V2" s="46"/>
    </row>
    <row r="3" spans="2:22" ht="24.9" customHeight="1" x14ac:dyDescent="0.3">
      <c r="B3" s="461" t="str">
        <f>IF(Project_Site = "","", Project_Site)</f>
        <v>Hwy 101  MP 57.2 Miami tributary, Electric Creek</v>
      </c>
      <c r="C3" s="462"/>
      <c r="D3" s="462"/>
      <c r="E3" s="463"/>
      <c r="F3" s="67"/>
      <c r="H3" s="21"/>
      <c r="I3" s="21"/>
      <c r="K3" s="111"/>
      <c r="L3" s="68" t="s">
        <v>88</v>
      </c>
      <c r="M3" s="31"/>
    </row>
    <row r="4" spans="2:22" ht="14.25" customHeight="1" x14ac:dyDescent="0.3">
      <c r="B4" s="219"/>
      <c r="C4" s="30"/>
      <c r="E4" s="35"/>
      <c r="F4" s="35"/>
      <c r="G4" s="21"/>
      <c r="H4" s="21"/>
      <c r="I4" s="41"/>
      <c r="K4" s="111"/>
      <c r="L4" s="68" t="s">
        <v>167</v>
      </c>
      <c r="M4" s="32"/>
    </row>
    <row r="5" spans="2:22" ht="14.25" customHeight="1" x14ac:dyDescent="0.3">
      <c r="B5" s="41"/>
      <c r="C5" s="30"/>
      <c r="E5" s="35"/>
      <c r="F5" s="35"/>
      <c r="G5" s="21"/>
      <c r="H5" s="21"/>
      <c r="I5" s="41"/>
      <c r="K5" s="111"/>
      <c r="L5" s="68"/>
      <c r="M5" s="220"/>
    </row>
    <row r="6" spans="2:22" ht="24.9" customHeight="1" x14ac:dyDescent="0.3">
      <c r="B6" s="110" t="s">
        <v>241</v>
      </c>
      <c r="C6" s="474" t="s">
        <v>231</v>
      </c>
      <c r="D6" s="475"/>
      <c r="E6" s="475"/>
      <c r="F6" s="475"/>
      <c r="G6" s="476"/>
      <c r="H6" s="110" t="s">
        <v>9</v>
      </c>
      <c r="I6" s="110" t="s">
        <v>10</v>
      </c>
      <c r="J6" s="403" t="s">
        <v>303</v>
      </c>
      <c r="K6" s="404"/>
      <c r="L6" s="404"/>
      <c r="M6" s="404"/>
      <c r="N6" s="404"/>
      <c r="O6" s="405"/>
    </row>
    <row r="7" spans="2:22" ht="15.6" x14ac:dyDescent="0.3">
      <c r="B7" s="112"/>
      <c r="C7" s="120"/>
      <c r="D7" s="120"/>
      <c r="E7" s="111"/>
      <c r="F7" s="111"/>
      <c r="G7" s="111"/>
      <c r="H7" s="131"/>
      <c r="I7" s="112"/>
      <c r="J7" s="111"/>
      <c r="K7" s="111"/>
      <c r="L7" s="111"/>
      <c r="M7" s="111"/>
      <c r="N7" s="111"/>
      <c r="O7" s="111"/>
    </row>
    <row r="8" spans="2:22" ht="20.100000000000001" customHeight="1" x14ac:dyDescent="0.3">
      <c r="B8" s="471" t="s">
        <v>91</v>
      </c>
      <c r="C8" s="471"/>
      <c r="D8" s="471"/>
      <c r="E8" s="471"/>
      <c r="F8" s="471"/>
      <c r="G8" s="471"/>
      <c r="H8" s="131"/>
      <c r="I8" s="132"/>
      <c r="J8" s="111"/>
      <c r="K8" s="111"/>
      <c r="L8" s="111"/>
      <c r="M8" s="111"/>
      <c r="N8" s="111"/>
      <c r="O8" s="111"/>
    </row>
    <row r="9" spans="2:22" ht="16.2" thickBot="1" x14ac:dyDescent="0.35">
      <c r="B9" s="132"/>
      <c r="C9" s="111"/>
      <c r="D9" s="111"/>
      <c r="E9" s="111"/>
      <c r="F9" s="133"/>
      <c r="G9" s="134"/>
      <c r="H9" s="131"/>
      <c r="I9" s="132"/>
      <c r="J9" s="111"/>
      <c r="K9" s="111"/>
      <c r="L9" s="111"/>
      <c r="M9" s="111"/>
      <c r="N9" s="111"/>
      <c r="O9" s="111"/>
    </row>
    <row r="10" spans="2:22" ht="51.75" customHeight="1" x14ac:dyDescent="0.3">
      <c r="B10" s="115" t="s">
        <v>70</v>
      </c>
      <c r="C10" s="477" t="s">
        <v>298</v>
      </c>
      <c r="D10" s="478"/>
      <c r="E10" s="478"/>
      <c r="F10" s="479"/>
      <c r="G10" s="117" t="s">
        <v>21</v>
      </c>
      <c r="H10" s="131"/>
      <c r="I10" s="135" t="s">
        <v>7</v>
      </c>
      <c r="J10" s="111"/>
      <c r="K10" s="111"/>
      <c r="L10" s="111"/>
      <c r="M10" s="111"/>
      <c r="N10" s="111"/>
      <c r="O10" s="111"/>
    </row>
    <row r="11" spans="2:22" ht="38.25" customHeight="1" x14ac:dyDescent="0.3">
      <c r="B11" s="132"/>
      <c r="C11" s="472" t="s">
        <v>37</v>
      </c>
      <c r="D11" s="472"/>
      <c r="E11" s="472"/>
      <c r="F11" s="472"/>
      <c r="G11" s="136">
        <f>IF($O$14="","",K14/$O$14*100)</f>
        <v>48.214285714285715</v>
      </c>
      <c r="H11" s="131"/>
      <c r="I11" s="132"/>
      <c r="J11" s="111"/>
      <c r="K11" s="484" t="s">
        <v>238</v>
      </c>
      <c r="L11" s="484"/>
      <c r="M11" s="484"/>
      <c r="N11" s="484"/>
      <c r="O11" s="484"/>
    </row>
    <row r="12" spans="2:22" ht="29.25" customHeight="1" x14ac:dyDescent="0.3">
      <c r="B12" s="132"/>
      <c r="C12" s="472" t="s">
        <v>93</v>
      </c>
      <c r="D12" s="472"/>
      <c r="E12" s="472"/>
      <c r="F12" s="472"/>
      <c r="G12" s="136">
        <f>IF($O$14="","",L14/$O$14*100)</f>
        <v>12.5</v>
      </c>
      <c r="H12" s="131"/>
      <c r="I12" s="132"/>
      <c r="J12" s="111"/>
      <c r="K12" s="485" t="s">
        <v>172</v>
      </c>
      <c r="L12" s="486"/>
      <c r="M12" s="486"/>
      <c r="N12" s="487"/>
      <c r="O12" s="289"/>
    </row>
    <row r="13" spans="2:22" ht="51" customHeight="1" x14ac:dyDescent="0.3">
      <c r="B13" s="132"/>
      <c r="C13" s="472" t="s">
        <v>168</v>
      </c>
      <c r="D13" s="472"/>
      <c r="E13" s="472"/>
      <c r="F13" s="472"/>
      <c r="G13" s="136">
        <f>IF($O$14="","",M14/$O$14*100)</f>
        <v>8.9285714285714288</v>
      </c>
      <c r="H13" s="131"/>
      <c r="I13" s="132"/>
      <c r="J13" s="111"/>
      <c r="K13" s="282" t="s">
        <v>402</v>
      </c>
      <c r="L13" s="282" t="s">
        <v>403</v>
      </c>
      <c r="M13" s="282" t="s">
        <v>404</v>
      </c>
      <c r="N13" s="282" t="s">
        <v>405</v>
      </c>
      <c r="O13" s="282" t="s">
        <v>171</v>
      </c>
    </row>
    <row r="14" spans="2:22" ht="15.6" x14ac:dyDescent="0.3">
      <c r="B14" s="132"/>
      <c r="C14" s="472" t="s">
        <v>406</v>
      </c>
      <c r="D14" s="472"/>
      <c r="E14" s="472"/>
      <c r="F14" s="472"/>
      <c r="G14" s="136">
        <f>IF($O$14="","",N14/$O$14*100)</f>
        <v>30.357142857142854</v>
      </c>
      <c r="H14" s="131"/>
      <c r="I14" s="132"/>
      <c r="J14" s="111"/>
      <c r="K14" s="290">
        <v>27</v>
      </c>
      <c r="L14" s="290">
        <v>7</v>
      </c>
      <c r="M14" s="290">
        <v>5</v>
      </c>
      <c r="N14" s="290">
        <v>17</v>
      </c>
      <c r="O14" s="288">
        <f>IF(K14="","",SUM(K14:N14))</f>
        <v>56</v>
      </c>
    </row>
    <row r="15" spans="2:22" ht="15.6" x14ac:dyDescent="0.3">
      <c r="B15" s="132"/>
      <c r="C15" s="473" t="s">
        <v>169</v>
      </c>
      <c r="D15" s="473"/>
      <c r="E15" s="473"/>
      <c r="F15" s="473"/>
      <c r="G15" s="138">
        <f>IF(pClass1="","",SUM(pClass1,pClass2*0.92,pClass3*AVERAGE(0.88+0.43),pClass4*0.04))</f>
        <v>72.625</v>
      </c>
      <c r="H15" s="131"/>
      <c r="I15" s="132"/>
      <c r="J15" s="111"/>
      <c r="K15" s="111"/>
      <c r="L15" s="111"/>
      <c r="M15" s="111"/>
      <c r="N15" s="111"/>
      <c r="O15" s="111"/>
    </row>
    <row r="16" spans="2:22" ht="15.6" x14ac:dyDescent="0.3">
      <c r="B16" s="132"/>
      <c r="C16" s="113"/>
      <c r="D16" s="113"/>
      <c r="E16" s="111"/>
      <c r="F16" s="139" t="s">
        <v>156</v>
      </c>
      <c r="G16" s="140">
        <f>IF(FuncRip="","",IF(FuncRip&lt;34,0.3,IF(FuncRip&lt;81,0.6,1)))</f>
        <v>0.6</v>
      </c>
      <c r="H16" s="141"/>
      <c r="I16" s="132"/>
      <c r="J16" s="111"/>
      <c r="K16" s="111"/>
      <c r="L16" s="111"/>
      <c r="M16" s="111"/>
      <c r="N16" s="111"/>
      <c r="O16" s="111"/>
    </row>
    <row r="17" spans="2:21" ht="15.6" x14ac:dyDescent="0.3">
      <c r="B17" s="132"/>
      <c r="C17" s="142"/>
      <c r="D17" s="142"/>
      <c r="E17" s="142"/>
      <c r="F17" s="143"/>
      <c r="G17" s="144"/>
      <c r="H17" s="145"/>
      <c r="I17" s="112"/>
      <c r="J17" s="113"/>
      <c r="K17" s="111"/>
      <c r="L17" s="111"/>
      <c r="M17" s="111"/>
      <c r="N17" s="111"/>
      <c r="O17" s="111"/>
    </row>
    <row r="18" spans="2:21" s="18" customFormat="1" ht="16.5" customHeight="1" x14ac:dyDescent="0.3">
      <c r="B18" s="116"/>
      <c r="C18" s="470" t="s">
        <v>219</v>
      </c>
      <c r="D18" s="470"/>
      <c r="E18" s="470"/>
      <c r="F18" s="470"/>
      <c r="G18" s="470"/>
      <c r="H18" s="116"/>
      <c r="I18" s="116"/>
      <c r="J18" s="111"/>
      <c r="K18" s="111"/>
      <c r="L18" s="111"/>
      <c r="M18" s="111"/>
      <c r="N18" s="111"/>
      <c r="O18" s="111"/>
      <c r="P18" s="56"/>
      <c r="Q18" s="56"/>
      <c r="R18" s="69"/>
      <c r="S18" s="63"/>
      <c r="T18" s="63"/>
      <c r="U18" s="63"/>
    </row>
    <row r="19" spans="2:21" s="18" customFormat="1" ht="20.100000000000001" customHeight="1" x14ac:dyDescent="0.3">
      <c r="B19" s="116"/>
      <c r="C19" s="400" t="s">
        <v>426</v>
      </c>
      <c r="D19" s="400"/>
      <c r="E19" s="400"/>
      <c r="F19" s="400"/>
      <c r="G19" s="400"/>
      <c r="H19" s="116"/>
      <c r="I19" s="116"/>
      <c r="J19" s="111"/>
      <c r="K19" s="111"/>
      <c r="L19" s="111"/>
      <c r="M19" s="111"/>
      <c r="N19" s="111"/>
      <c r="O19" s="111"/>
      <c r="P19" s="56"/>
      <c r="Q19" s="56"/>
      <c r="R19" s="69"/>
      <c r="S19" s="63"/>
      <c r="T19" s="63"/>
      <c r="U19" s="63"/>
    </row>
    <row r="20" spans="2:21" ht="15.6" x14ac:dyDescent="0.3">
      <c r="B20" s="132"/>
      <c r="C20" s="142"/>
      <c r="D20" s="142"/>
      <c r="E20" s="142"/>
      <c r="F20" s="143"/>
      <c r="G20" s="144"/>
      <c r="H20" s="146"/>
      <c r="I20" s="132"/>
      <c r="J20" s="111"/>
      <c r="K20" s="111"/>
      <c r="L20" s="111"/>
      <c r="M20" s="111"/>
      <c r="N20" s="111"/>
      <c r="O20" s="111"/>
    </row>
    <row r="21" spans="2:21" ht="20.100000000000001" customHeight="1" x14ac:dyDescent="0.3">
      <c r="B21" s="471" t="s">
        <v>90</v>
      </c>
      <c r="C21" s="471"/>
      <c r="D21" s="471"/>
      <c r="E21" s="471"/>
      <c r="F21" s="471"/>
      <c r="G21" s="471"/>
      <c r="H21" s="146"/>
      <c r="I21" s="132"/>
      <c r="J21" s="111"/>
      <c r="K21" s="111"/>
      <c r="L21" s="111"/>
      <c r="M21" s="111"/>
      <c r="N21" s="111"/>
      <c r="O21" s="111"/>
    </row>
    <row r="22" spans="2:21" ht="20.100000000000001" customHeight="1" thickBot="1" x14ac:dyDescent="0.35">
      <c r="B22" s="132"/>
      <c r="C22" s="111"/>
      <c r="D22" s="111"/>
      <c r="E22" s="111"/>
      <c r="F22" s="133"/>
      <c r="G22" s="133"/>
      <c r="H22" s="146"/>
      <c r="I22" s="132"/>
      <c r="J22" s="111"/>
      <c r="K22" s="148" t="s">
        <v>239</v>
      </c>
      <c r="L22" s="111"/>
      <c r="M22" s="111"/>
      <c r="N22" s="111"/>
      <c r="O22" s="111"/>
    </row>
    <row r="23" spans="2:21" ht="65.099999999999994" customHeight="1" x14ac:dyDescent="0.3">
      <c r="B23" s="149" t="s">
        <v>71</v>
      </c>
      <c r="C23" s="464" t="s">
        <v>372</v>
      </c>
      <c r="D23" s="465"/>
      <c r="E23" s="465"/>
      <c r="F23" s="466"/>
      <c r="G23" s="150" t="s">
        <v>21</v>
      </c>
      <c r="H23" s="131"/>
      <c r="I23" s="135" t="s">
        <v>8</v>
      </c>
      <c r="J23" s="111"/>
      <c r="K23" s="282" t="s">
        <v>111</v>
      </c>
      <c r="L23" s="282" t="s">
        <v>127</v>
      </c>
      <c r="M23" s="282" t="s">
        <v>87</v>
      </c>
      <c r="N23" s="282" t="s">
        <v>173</v>
      </c>
      <c r="O23" s="282" t="s">
        <v>440</v>
      </c>
    </row>
    <row r="24" spans="2:21" ht="15.6" x14ac:dyDescent="0.3">
      <c r="B24" s="112"/>
      <c r="C24" s="467" t="s">
        <v>94</v>
      </c>
      <c r="D24" s="468"/>
      <c r="E24" s="468"/>
      <c r="F24" s="469"/>
      <c r="G24" s="151" t="s">
        <v>146</v>
      </c>
      <c r="H24" s="131"/>
      <c r="I24" s="112"/>
      <c r="J24" s="111"/>
      <c r="K24" s="282">
        <v>1</v>
      </c>
      <c r="L24" s="283">
        <f>IF('Instream-HabRate'!H27&lt;&gt;"",'Instream-HabRate'!H27,"")</f>
        <v>2015</v>
      </c>
      <c r="M24" s="284">
        <f>IF('Instream-HabRate'!C27&lt;&gt;"",'Instream-HabRate'!C27,"")</f>
        <v>0.2</v>
      </c>
      <c r="N24" s="285">
        <v>1.5</v>
      </c>
      <c r="O24" s="284" t="str">
        <f>IF(N24 = "","",IF(N24&gt;2.2,M24,""))</f>
        <v/>
      </c>
    </row>
    <row r="25" spans="2:21" ht="21" customHeight="1" x14ac:dyDescent="0.3">
      <c r="B25" s="132"/>
      <c r="C25" s="152"/>
      <c r="D25" s="152"/>
      <c r="E25" s="111"/>
      <c r="F25" s="153" t="s">
        <v>155</v>
      </c>
      <c r="G25" s="154">
        <f>IF(Entrench&lt;"a","",VLOOKUP(Entrench,LU_Entrench_Score,2,FALSE))</f>
        <v>1</v>
      </c>
      <c r="H25" s="131"/>
      <c r="I25" s="112"/>
      <c r="J25" s="111"/>
      <c r="K25" s="282">
        <v>2</v>
      </c>
      <c r="L25" s="283" t="s">
        <v>415</v>
      </c>
      <c r="M25" s="284" t="s">
        <v>415</v>
      </c>
      <c r="N25" s="285"/>
      <c r="O25" s="284" t="str">
        <f t="shared" ref="O25:O33" si="0">IF(N25 = "","",IF(N25&gt;2.2,M25,""))</f>
        <v/>
      </c>
    </row>
    <row r="26" spans="2:21" ht="16.2" thickBot="1" x14ac:dyDescent="0.35">
      <c r="B26" s="132"/>
      <c r="C26" s="111"/>
      <c r="D26" s="111"/>
      <c r="E26" s="111"/>
      <c r="F26" s="133"/>
      <c r="G26" s="112"/>
      <c r="H26" s="146"/>
      <c r="I26" s="132"/>
      <c r="J26" s="111"/>
      <c r="K26" s="282">
        <v>3</v>
      </c>
      <c r="L26" s="283" t="s">
        <v>415</v>
      </c>
      <c r="M26" s="284" t="s">
        <v>415</v>
      </c>
      <c r="N26" s="285"/>
      <c r="O26" s="284" t="str">
        <f t="shared" si="0"/>
        <v/>
      </c>
    </row>
    <row r="27" spans="2:21" ht="27" customHeight="1" x14ac:dyDescent="0.3">
      <c r="B27" s="149" t="s">
        <v>81</v>
      </c>
      <c r="C27" s="464" t="s">
        <v>80</v>
      </c>
      <c r="D27" s="465"/>
      <c r="E27" s="465"/>
      <c r="F27" s="466"/>
      <c r="G27" s="155" t="s">
        <v>21</v>
      </c>
      <c r="H27" s="131"/>
      <c r="I27" s="135"/>
      <c r="J27" s="111"/>
      <c r="K27" s="282">
        <v>4</v>
      </c>
      <c r="L27" s="283" t="s">
        <v>415</v>
      </c>
      <c r="M27" s="284" t="s">
        <v>415</v>
      </c>
      <c r="N27" s="285"/>
      <c r="O27" s="284" t="str">
        <f t="shared" si="0"/>
        <v/>
      </c>
    </row>
    <row r="28" spans="2:21" ht="15.6" x14ac:dyDescent="0.3">
      <c r="B28" s="112"/>
      <c r="C28" s="467" t="s">
        <v>82</v>
      </c>
      <c r="D28" s="468"/>
      <c r="E28" s="468"/>
      <c r="F28" s="469"/>
      <c r="G28" s="156" t="s">
        <v>134</v>
      </c>
      <c r="H28" s="131"/>
      <c r="I28" s="112"/>
      <c r="J28" s="111"/>
      <c r="K28" s="282">
        <v>5</v>
      </c>
      <c r="L28" s="283" t="s">
        <v>415</v>
      </c>
      <c r="M28" s="284" t="s">
        <v>415</v>
      </c>
      <c r="N28" s="286"/>
      <c r="O28" s="284" t="str">
        <f t="shared" si="0"/>
        <v/>
      </c>
    </row>
    <row r="29" spans="2:21" ht="24" customHeight="1" x14ac:dyDescent="0.3">
      <c r="B29" s="132"/>
      <c r="C29" s="152"/>
      <c r="D29" s="152"/>
      <c r="E29" s="111"/>
      <c r="F29" s="157" t="s">
        <v>154</v>
      </c>
      <c r="G29" s="154">
        <f>IF(Floodpln&lt;"a","",VLOOKUP(Floodpln,LU_Floodplain_Score,2,FALSE))</f>
        <v>1</v>
      </c>
      <c r="H29" s="131"/>
      <c r="I29" s="112"/>
      <c r="J29" s="111"/>
      <c r="K29" s="282">
        <v>6</v>
      </c>
      <c r="L29" s="283" t="s">
        <v>415</v>
      </c>
      <c r="M29" s="284" t="s">
        <v>415</v>
      </c>
      <c r="N29" s="286"/>
      <c r="O29" s="284" t="str">
        <f t="shared" si="0"/>
        <v/>
      </c>
    </row>
    <row r="30" spans="2:21" ht="15" customHeight="1" x14ac:dyDescent="0.3">
      <c r="B30" s="133"/>
      <c r="C30" s="111"/>
      <c r="D30" s="111"/>
      <c r="E30" s="111"/>
      <c r="F30" s="133"/>
      <c r="G30" s="133"/>
      <c r="H30" s="158"/>
      <c r="I30" s="132"/>
      <c r="J30" s="111"/>
      <c r="K30" s="282">
        <v>7</v>
      </c>
      <c r="L30" s="283" t="s">
        <v>415</v>
      </c>
      <c r="M30" s="284" t="s">
        <v>415</v>
      </c>
      <c r="N30" s="286"/>
      <c r="O30" s="284" t="str">
        <f t="shared" si="0"/>
        <v/>
      </c>
    </row>
    <row r="31" spans="2:21" s="18" customFormat="1" ht="16.5" customHeight="1" x14ac:dyDescent="0.3">
      <c r="B31" s="116"/>
      <c r="C31" s="470" t="s">
        <v>220</v>
      </c>
      <c r="D31" s="470"/>
      <c r="E31" s="470"/>
      <c r="F31" s="470"/>
      <c r="G31" s="470"/>
      <c r="H31" s="116"/>
      <c r="I31" s="116"/>
      <c r="J31" s="111"/>
      <c r="K31" s="282">
        <v>8</v>
      </c>
      <c r="L31" s="283" t="s">
        <v>415</v>
      </c>
      <c r="M31" s="284" t="s">
        <v>415</v>
      </c>
      <c r="N31" s="286"/>
      <c r="O31" s="284" t="str">
        <f t="shared" si="0"/>
        <v/>
      </c>
      <c r="P31" s="56"/>
      <c r="Q31" s="56"/>
      <c r="R31" s="69"/>
      <c r="S31" s="63"/>
      <c r="T31" s="63"/>
      <c r="U31" s="63"/>
    </row>
    <row r="32" spans="2:21" s="18" customFormat="1" ht="20.100000000000001" customHeight="1" x14ac:dyDescent="0.3">
      <c r="B32" s="116"/>
      <c r="C32" s="400"/>
      <c r="D32" s="400"/>
      <c r="E32" s="400"/>
      <c r="F32" s="400"/>
      <c r="G32" s="400"/>
      <c r="H32" s="116"/>
      <c r="I32" s="116"/>
      <c r="J32" s="111"/>
      <c r="K32" s="282">
        <v>9</v>
      </c>
      <c r="L32" s="283" t="s">
        <v>415</v>
      </c>
      <c r="M32" s="284" t="s">
        <v>415</v>
      </c>
      <c r="N32" s="286"/>
      <c r="O32" s="284" t="str">
        <f t="shared" si="0"/>
        <v/>
      </c>
      <c r="P32" s="56"/>
      <c r="Q32" s="56"/>
      <c r="R32" s="69"/>
      <c r="S32" s="63"/>
      <c r="T32" s="63"/>
      <c r="U32" s="63"/>
    </row>
    <row r="33" spans="3:15" ht="15.6" x14ac:dyDescent="0.3">
      <c r="C33" s="42"/>
      <c r="G33" s="22"/>
      <c r="K33" s="282">
        <v>10</v>
      </c>
      <c r="L33" s="283" t="s">
        <v>415</v>
      </c>
      <c r="M33" s="284" t="s">
        <v>415</v>
      </c>
      <c r="N33" s="286"/>
      <c r="O33" s="284" t="str">
        <f t="shared" si="0"/>
        <v/>
      </c>
    </row>
    <row r="34" spans="3:15" ht="15.6" x14ac:dyDescent="0.3">
      <c r="G34" s="22"/>
      <c r="K34" s="480" t="s">
        <v>233</v>
      </c>
      <c r="L34" s="480"/>
      <c r="M34" s="284">
        <f>SUM(M24:M32)</f>
        <v>0.2</v>
      </c>
      <c r="N34" s="287"/>
      <c r="O34" s="284">
        <f>SUM(O24:O32)</f>
        <v>0</v>
      </c>
    </row>
    <row r="35" spans="3:15" ht="15.6" x14ac:dyDescent="0.3">
      <c r="G35" s="22"/>
      <c r="K35" s="481" t="s">
        <v>441</v>
      </c>
      <c r="L35" s="482"/>
      <c r="M35" s="482"/>
      <c r="N35" s="483"/>
      <c r="O35" s="284">
        <f>IF(M24="","",(O34/M34)*100)</f>
        <v>0</v>
      </c>
    </row>
    <row r="36" spans="3:15" x14ac:dyDescent="0.3">
      <c r="G36" s="22"/>
    </row>
    <row r="37" spans="3:15" x14ac:dyDescent="0.3">
      <c r="G37" s="22"/>
    </row>
    <row r="38" spans="3:15" x14ac:dyDescent="0.3">
      <c r="G38" s="22"/>
    </row>
    <row r="39" spans="3:15" x14ac:dyDescent="0.3">
      <c r="G39" s="22"/>
    </row>
    <row r="40" spans="3:15" x14ac:dyDescent="0.3">
      <c r="G40" s="22"/>
    </row>
    <row r="41" spans="3:15" x14ac:dyDescent="0.3">
      <c r="G41" s="22"/>
    </row>
    <row r="42" spans="3:15" x14ac:dyDescent="0.3">
      <c r="G42" s="22"/>
    </row>
    <row r="43" spans="3:15" x14ac:dyDescent="0.3">
      <c r="G43" s="22"/>
    </row>
    <row r="44" spans="3:15" x14ac:dyDescent="0.3">
      <c r="G44" s="22"/>
    </row>
    <row r="45" spans="3:15" x14ac:dyDescent="0.3">
      <c r="G45" s="22"/>
    </row>
    <row r="46" spans="3:15" x14ac:dyDescent="0.3">
      <c r="G46" s="22"/>
    </row>
    <row r="47" spans="3:15" x14ac:dyDescent="0.3">
      <c r="G47" s="22"/>
    </row>
  </sheetData>
  <customSheetViews>
    <customSheetView guid="{2CD00E0D-7A42-4D1F-BB0C-36C7B8A44027}" printArea="1">
      <selection activeCell="C7" sqref="C7:F7"/>
      <rowBreaks count="6" manualBreakCount="6">
        <brk id="19" max="7" man="1"/>
        <brk id="42" max="8" man="1"/>
        <brk id="70" max="8" man="1"/>
        <brk id="100" max="8" man="1"/>
        <brk id="126" max="8" man="1"/>
        <brk id="149" max="8" man="1"/>
      </rowBreaks>
      <pageMargins left="0.5" right="0.5" top="0.5" bottom="0.5" header="0.3" footer="0.3"/>
      <pageSetup scale="94" fitToHeight="0" orientation="landscape" cellComments="asDisplayed" r:id="rId1"/>
      <headerFooter>
        <oddFooter>Page &amp;P</oddFooter>
      </headerFooter>
    </customSheetView>
  </customSheetViews>
  <mergeCells count="23">
    <mergeCell ref="C31:G31"/>
    <mergeCell ref="C32:G32"/>
    <mergeCell ref="K34:L34"/>
    <mergeCell ref="K35:N35"/>
    <mergeCell ref="J6:O6"/>
    <mergeCell ref="K11:O11"/>
    <mergeCell ref="K12:N12"/>
    <mergeCell ref="B3:E3"/>
    <mergeCell ref="C27:F27"/>
    <mergeCell ref="C28:F28"/>
    <mergeCell ref="C24:F24"/>
    <mergeCell ref="C18:G18"/>
    <mergeCell ref="C19:G19"/>
    <mergeCell ref="B8:G8"/>
    <mergeCell ref="B21:G21"/>
    <mergeCell ref="C11:F11"/>
    <mergeCell ref="C12:F12"/>
    <mergeCell ref="C13:F13"/>
    <mergeCell ref="C15:F15"/>
    <mergeCell ref="C14:F14"/>
    <mergeCell ref="C6:G6"/>
    <mergeCell ref="C23:F23"/>
    <mergeCell ref="C10:F10"/>
  </mergeCells>
  <printOptions horizontalCentered="1"/>
  <pageMargins left="0.5" right="0.5" top="0.5" bottom="0.5" header="0.3" footer="0.3"/>
  <pageSetup scale="74" fitToHeight="0" orientation="landscape" cellComments="asDisplayed" r:id="rId2"/>
  <headerFooter>
    <oddFooter>&amp;C&amp;P</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lists'!$F$25:$F$30</xm:f>
          </x14:formula1>
          <xm:sqref>G28</xm:sqref>
        </x14:dataValidation>
        <x14:dataValidation type="list" allowBlank="1" showInputMessage="1" showErrorMessage="1">
          <x14:formula1>
            <xm:f>'Dropdown lists'!$C$25:$C$29</xm:f>
          </x14:formula1>
          <xm:sqref>G24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56"/>
  <sheetViews>
    <sheetView topLeftCell="A30" zoomScale="75" zoomScaleNormal="75" zoomScaleSheetLayoutView="85" zoomScalePageLayoutView="40" workbookViewId="0">
      <selection activeCell="S35" sqref="S35"/>
    </sheetView>
  </sheetViews>
  <sheetFormatPr defaultColWidth="9.109375" defaultRowHeight="14.4" x14ac:dyDescent="0.3"/>
  <cols>
    <col min="1" max="1" width="4.6640625" style="38" customWidth="1"/>
    <col min="2" max="2" width="12.109375" style="38" customWidth="1"/>
    <col min="3" max="3" width="9.109375" style="38" customWidth="1"/>
    <col min="4" max="4" width="9.109375" style="38"/>
    <col min="5" max="5" width="60.6640625" style="38" customWidth="1"/>
    <col min="6" max="6" width="16.44140625" style="38" customWidth="1"/>
    <col min="7" max="7" width="16.88671875" style="38" customWidth="1"/>
    <col min="8" max="8" width="18.5546875" style="38" hidden="1" customWidth="1"/>
    <col min="9" max="9" width="7.44140625" style="38" hidden="1" customWidth="1"/>
    <col min="10" max="10" width="10" style="38" customWidth="1"/>
    <col min="11" max="11" width="13.44140625" style="43" customWidth="1"/>
    <col min="12" max="12" width="17" style="43" customWidth="1"/>
    <col min="13" max="13" width="14.33203125" style="43" customWidth="1"/>
    <col min="14" max="14" width="9.88671875" style="43" customWidth="1"/>
    <col min="15" max="15" width="5" style="38" customWidth="1"/>
    <col min="16" max="16384" width="9.109375" style="38"/>
  </cols>
  <sheetData>
    <row r="1" spans="2:22" s="21" customFormat="1" ht="30" customHeight="1" x14ac:dyDescent="0.3">
      <c r="B1" s="182" t="str">
        <f>CONCATENATE('Cover Page'!B1:L1," ", 'Cover Page'!B2:L2," - SUPPORTING LANDSCAPE")</f>
        <v>FISH PASSAGE CREDIT CALCULATOR Version 1.1 - SUPPORTING LANDSCAPE</v>
      </c>
      <c r="C1" s="66"/>
      <c r="D1" s="66"/>
      <c r="E1" s="66"/>
      <c r="F1" s="66"/>
      <c r="G1" s="66"/>
      <c r="I1" s="44"/>
      <c r="J1" s="44"/>
      <c r="K1" s="44"/>
      <c r="M1" s="183"/>
      <c r="O1" s="44"/>
      <c r="P1" s="44"/>
      <c r="Q1" s="44"/>
      <c r="R1" s="44"/>
      <c r="S1" s="23"/>
      <c r="T1" s="23"/>
      <c r="U1" s="45"/>
      <c r="V1" s="23"/>
    </row>
    <row r="2" spans="2:22" s="43" customFormat="1" ht="13.8" x14ac:dyDescent="0.3">
      <c r="B2" s="30"/>
      <c r="C2" s="30"/>
      <c r="D2" s="30"/>
      <c r="E2" s="30"/>
      <c r="F2" s="46"/>
      <c r="G2" s="46"/>
      <c r="H2" s="34"/>
      <c r="I2" s="34"/>
      <c r="J2" s="34"/>
      <c r="K2" s="34"/>
      <c r="L2" s="34"/>
      <c r="M2" s="34"/>
      <c r="N2" s="34"/>
      <c r="O2" s="34"/>
      <c r="P2" s="34"/>
      <c r="Q2" s="34"/>
      <c r="R2" s="34"/>
      <c r="S2" s="29"/>
      <c r="T2" s="29"/>
      <c r="U2" s="30"/>
      <c r="V2" s="46"/>
    </row>
    <row r="3" spans="2:22" s="21" customFormat="1" ht="24.9" customHeight="1" x14ac:dyDescent="0.3">
      <c r="B3" s="505" t="str">
        <f>IF(Project_Site = "","", Project_Site)</f>
        <v>Hwy 101  MP 57.2 Miami tributary, Electric Creek</v>
      </c>
      <c r="C3" s="506"/>
      <c r="D3" s="506"/>
      <c r="E3" s="507"/>
      <c r="F3" s="67"/>
      <c r="L3" s="68" t="s">
        <v>88</v>
      </c>
      <c r="M3" s="31"/>
    </row>
    <row r="4" spans="2:22" s="21" customFormat="1" ht="13.8" x14ac:dyDescent="0.3">
      <c r="B4" s="40"/>
      <c r="C4" s="40"/>
      <c r="L4" s="68" t="s">
        <v>167</v>
      </c>
      <c r="M4" s="32"/>
    </row>
    <row r="5" spans="2:22" s="21" customFormat="1" ht="13.8" x14ac:dyDescent="0.3">
      <c r="B5" s="40"/>
      <c r="C5" s="40"/>
      <c r="L5" s="68"/>
      <c r="M5" s="221"/>
    </row>
    <row r="6" spans="2:22" s="18" customFormat="1" ht="24.9" customHeight="1" x14ac:dyDescent="0.3">
      <c r="B6" s="110" t="s">
        <v>241</v>
      </c>
      <c r="C6" s="474" t="s">
        <v>231</v>
      </c>
      <c r="D6" s="475"/>
      <c r="E6" s="475"/>
      <c r="F6" s="475"/>
      <c r="G6" s="476"/>
      <c r="H6" s="110" t="s">
        <v>9</v>
      </c>
      <c r="I6" s="110" t="s">
        <v>10</v>
      </c>
      <c r="J6" s="403" t="s">
        <v>303</v>
      </c>
      <c r="K6" s="404"/>
      <c r="L6" s="404"/>
      <c r="M6" s="404"/>
      <c r="N6" s="404"/>
      <c r="O6" s="405"/>
    </row>
    <row r="7" spans="2:22" s="18" customFormat="1" ht="15.6" x14ac:dyDescent="0.3">
      <c r="B7" s="132"/>
      <c r="C7" s="111"/>
      <c r="D7" s="111"/>
      <c r="E7" s="111"/>
      <c r="F7" s="133"/>
      <c r="G7" s="133"/>
      <c r="H7" s="131"/>
      <c r="I7" s="132"/>
      <c r="J7" s="111"/>
      <c r="K7" s="111"/>
      <c r="L7" s="111"/>
      <c r="M7" s="111"/>
      <c r="N7" s="111"/>
    </row>
    <row r="8" spans="2:22" s="18" customFormat="1" ht="20.100000000000001" customHeight="1" x14ac:dyDescent="0.3">
      <c r="B8" s="471" t="s">
        <v>4</v>
      </c>
      <c r="C8" s="471"/>
      <c r="D8" s="471"/>
      <c r="E8" s="471"/>
      <c r="F8" s="471"/>
      <c r="G8" s="471"/>
      <c r="H8" s="131"/>
      <c r="I8" s="132"/>
      <c r="J8" s="111"/>
      <c r="K8" s="111"/>
      <c r="L8" s="111"/>
      <c r="M8" s="111"/>
      <c r="N8" s="111"/>
      <c r="P8" s="63"/>
      <c r="Q8" s="63"/>
      <c r="R8" s="63"/>
      <c r="S8" s="63"/>
      <c r="T8" s="63"/>
      <c r="U8" s="63"/>
    </row>
    <row r="9" spans="2:22" s="19" customFormat="1" ht="16.2" thickBot="1" x14ac:dyDescent="0.35">
      <c r="B9" s="132"/>
      <c r="C9" s="142"/>
      <c r="D9" s="142"/>
      <c r="E9" s="142"/>
      <c r="F9" s="144"/>
      <c r="G9" s="144"/>
      <c r="H9" s="131"/>
      <c r="I9" s="132"/>
      <c r="J9" s="111"/>
      <c r="K9" s="510" t="s">
        <v>234</v>
      </c>
      <c r="L9" s="510"/>
      <c r="M9" s="510"/>
      <c r="N9" s="111"/>
      <c r="O9" s="18"/>
      <c r="P9" s="81"/>
      <c r="Q9" s="81"/>
      <c r="R9" s="81"/>
      <c r="S9" s="63"/>
      <c r="T9" s="63"/>
      <c r="U9" s="63"/>
    </row>
    <row r="10" spans="2:22" s="19" customFormat="1" ht="64.5" customHeight="1" x14ac:dyDescent="0.3">
      <c r="B10" s="115" t="s">
        <v>79</v>
      </c>
      <c r="C10" s="495" t="s">
        <v>376</v>
      </c>
      <c r="D10" s="478"/>
      <c r="E10" s="478"/>
      <c r="F10" s="479"/>
      <c r="G10" s="150" t="s">
        <v>21</v>
      </c>
      <c r="H10" s="131"/>
      <c r="I10" s="135"/>
      <c r="J10" s="158"/>
      <c r="K10" s="516" t="s">
        <v>299</v>
      </c>
      <c r="L10" s="516"/>
      <c r="M10" s="516"/>
      <c r="N10" s="516"/>
      <c r="P10" s="509"/>
      <c r="Q10" s="509"/>
      <c r="R10" s="509"/>
      <c r="S10" s="63"/>
      <c r="T10" s="63"/>
      <c r="U10" s="63"/>
    </row>
    <row r="11" spans="2:22" s="19" customFormat="1" ht="35.1" customHeight="1" x14ac:dyDescent="0.3">
      <c r="B11" s="132"/>
      <c r="C11" s="492" t="s">
        <v>103</v>
      </c>
      <c r="D11" s="493"/>
      <c r="E11" s="493"/>
      <c r="F11" s="494"/>
      <c r="G11" s="151" t="s">
        <v>160</v>
      </c>
      <c r="H11" s="131"/>
      <c r="I11" s="132"/>
      <c r="J11" s="158"/>
      <c r="K11" s="159"/>
      <c r="L11" s="160" t="s">
        <v>246</v>
      </c>
      <c r="M11" s="160" t="s">
        <v>218</v>
      </c>
      <c r="N11" s="160" t="s">
        <v>46</v>
      </c>
      <c r="P11" s="86"/>
      <c r="Q11" s="56"/>
      <c r="R11" s="56"/>
      <c r="S11" s="63"/>
      <c r="T11" s="63"/>
      <c r="U11" s="63"/>
    </row>
    <row r="12" spans="2:22" s="18" customFormat="1" ht="20.100000000000001" customHeight="1" x14ac:dyDescent="0.3">
      <c r="B12" s="132"/>
      <c r="C12" s="145"/>
      <c r="D12" s="145"/>
      <c r="E12" s="145"/>
      <c r="F12" s="153" t="s">
        <v>155</v>
      </c>
      <c r="G12" s="154">
        <f>IF(ProtectRiparian&lt;"a","",VLOOKUP(ProtectRiparian,LU_Pct_Protected_Score,2,FALSE))</f>
        <v>0.5</v>
      </c>
      <c r="H12" s="141"/>
      <c r="I12" s="132"/>
      <c r="J12" s="158"/>
      <c r="K12" s="160" t="s">
        <v>170</v>
      </c>
      <c r="L12" s="128">
        <v>41</v>
      </c>
      <c r="M12" s="128">
        <v>8</v>
      </c>
      <c r="N12" s="162">
        <f>IF(M12&lt;&gt;"",M12/(L12+M12)*100,"")</f>
        <v>16.326530612244898</v>
      </c>
      <c r="O12" s="19"/>
      <c r="P12" s="56"/>
      <c r="Q12" s="56"/>
      <c r="R12" s="69"/>
      <c r="S12" s="63"/>
      <c r="T12" s="63"/>
      <c r="U12" s="63"/>
    </row>
    <row r="13" spans="2:22" s="18" customFormat="1" ht="27" customHeight="1" x14ac:dyDescent="0.3">
      <c r="B13" s="169"/>
      <c r="C13" s="147"/>
      <c r="D13" s="147"/>
      <c r="E13" s="147"/>
      <c r="F13" s="179"/>
      <c r="G13" s="180"/>
      <c r="H13" s="141"/>
      <c r="I13" s="169"/>
      <c r="J13" s="158"/>
      <c r="K13" s="112"/>
      <c r="L13" s="112"/>
      <c r="M13" s="112"/>
      <c r="N13" s="208"/>
      <c r="O13" s="19"/>
      <c r="P13" s="56"/>
      <c r="Q13" s="56"/>
      <c r="R13" s="69"/>
      <c r="S13" s="63"/>
      <c r="T13" s="63"/>
      <c r="U13" s="63"/>
    </row>
    <row r="14" spans="2:22" s="18" customFormat="1" ht="16.2" thickBot="1" x14ac:dyDescent="0.35">
      <c r="B14" s="132"/>
      <c r="C14" s="111"/>
      <c r="D14" s="111"/>
      <c r="E14" s="111"/>
      <c r="F14" s="133"/>
      <c r="G14" s="133"/>
      <c r="H14" s="131"/>
      <c r="I14" s="132"/>
      <c r="J14" s="111"/>
      <c r="K14" s="515" t="s">
        <v>143</v>
      </c>
      <c r="L14" s="515"/>
      <c r="M14" s="515"/>
      <c r="N14" s="515"/>
      <c r="P14" s="508"/>
      <c r="Q14" s="508"/>
      <c r="R14" s="508"/>
      <c r="S14" s="63"/>
      <c r="T14" s="63"/>
      <c r="U14" s="63"/>
    </row>
    <row r="15" spans="2:22" s="18" customFormat="1" ht="50.1" customHeight="1" x14ac:dyDescent="0.3">
      <c r="B15" s="115" t="s">
        <v>75</v>
      </c>
      <c r="C15" s="512" t="s">
        <v>375</v>
      </c>
      <c r="D15" s="513"/>
      <c r="E15" s="513"/>
      <c r="F15" s="514"/>
      <c r="G15" s="150" t="s">
        <v>21</v>
      </c>
      <c r="H15" s="131"/>
      <c r="I15" s="135" t="s">
        <v>6</v>
      </c>
      <c r="J15" s="111"/>
      <c r="K15" s="159"/>
      <c r="L15" s="160" t="s">
        <v>373</v>
      </c>
      <c r="M15" s="160" t="s">
        <v>374</v>
      </c>
      <c r="N15" s="160" t="s">
        <v>46</v>
      </c>
      <c r="P15" s="86"/>
      <c r="Q15" s="56"/>
      <c r="R15" s="56"/>
      <c r="S15" s="63"/>
      <c r="T15" s="63"/>
      <c r="U15" s="63"/>
    </row>
    <row r="16" spans="2:22" s="18" customFormat="1" ht="35.1" customHeight="1" x14ac:dyDescent="0.3">
      <c r="B16" s="158"/>
      <c r="C16" s="467" t="s">
        <v>103</v>
      </c>
      <c r="D16" s="468"/>
      <c r="E16" s="468"/>
      <c r="F16" s="469"/>
      <c r="G16" s="161" t="s">
        <v>146</v>
      </c>
      <c r="H16" s="131"/>
      <c r="I16" s="132"/>
      <c r="J16" s="111"/>
      <c r="K16" s="160" t="s">
        <v>170</v>
      </c>
      <c r="L16" s="128">
        <v>442</v>
      </c>
      <c r="M16" s="128">
        <v>1024</v>
      </c>
      <c r="N16" s="162">
        <f>IF(M16&lt;&gt;"",M16/(L16+M16)*100,"")</f>
        <v>69.84993178717599</v>
      </c>
      <c r="P16" s="56"/>
      <c r="Q16" s="56"/>
      <c r="R16" s="69"/>
      <c r="S16" s="63"/>
      <c r="T16" s="63"/>
      <c r="U16" s="63"/>
    </row>
    <row r="17" spans="2:21" s="18" customFormat="1" ht="20.100000000000001" customHeight="1" x14ac:dyDescent="0.3">
      <c r="B17" s="158"/>
      <c r="C17" s="134"/>
      <c r="D17" s="134"/>
      <c r="E17" s="134"/>
      <c r="F17" s="153" t="s">
        <v>155</v>
      </c>
      <c r="G17" s="163">
        <f>IF(ProtectContArea&lt;"a","",VLOOKUP(ProtectContArea,LU_Pct_Protected_Score,2,FALSE))</f>
        <v>1</v>
      </c>
      <c r="H17" s="131"/>
      <c r="I17" s="132"/>
      <c r="J17" s="111"/>
      <c r="K17" s="164"/>
      <c r="L17" s="164"/>
      <c r="M17" s="165"/>
      <c r="N17" s="111"/>
      <c r="P17" s="56"/>
      <c r="Q17" s="56"/>
      <c r="R17" s="69"/>
      <c r="S17" s="63"/>
      <c r="T17" s="63"/>
      <c r="U17" s="63"/>
    </row>
    <row r="18" spans="2:21" s="18" customFormat="1" ht="16.5" customHeight="1" x14ac:dyDescent="0.3">
      <c r="B18" s="116"/>
      <c r="C18" s="116"/>
      <c r="D18" s="116"/>
      <c r="E18" s="116"/>
      <c r="F18" s="116"/>
      <c r="G18" s="116"/>
      <c r="H18" s="116"/>
      <c r="I18" s="116"/>
      <c r="J18" s="113"/>
      <c r="K18" s="111"/>
      <c r="L18" s="111"/>
      <c r="M18" s="111"/>
      <c r="N18" s="111"/>
      <c r="P18" s="56"/>
      <c r="Q18" s="56"/>
      <c r="R18" s="69"/>
      <c r="S18" s="63"/>
      <c r="T18" s="63"/>
      <c r="U18" s="63"/>
    </row>
    <row r="19" spans="2:21" s="18" customFormat="1" ht="16.5" customHeight="1" x14ac:dyDescent="0.3">
      <c r="B19" s="116"/>
      <c r="C19" s="399" t="s">
        <v>224</v>
      </c>
      <c r="D19" s="399"/>
      <c r="E19" s="399"/>
      <c r="F19" s="399"/>
      <c r="G19" s="399"/>
      <c r="H19" s="116"/>
      <c r="I19" s="116"/>
      <c r="J19" s="111"/>
      <c r="K19" s="111"/>
      <c r="L19" s="111"/>
      <c r="M19" s="111"/>
      <c r="N19" s="111"/>
      <c r="P19" s="56"/>
      <c r="Q19" s="56"/>
      <c r="R19" s="69"/>
      <c r="S19" s="63"/>
      <c r="T19" s="63"/>
      <c r="U19" s="63"/>
    </row>
    <row r="20" spans="2:21" s="18" customFormat="1" ht="35.1" customHeight="1" x14ac:dyDescent="0.3">
      <c r="B20" s="116"/>
      <c r="C20" s="488"/>
      <c r="D20" s="488"/>
      <c r="E20" s="488"/>
      <c r="F20" s="488"/>
      <c r="G20" s="488"/>
      <c r="H20" s="116"/>
      <c r="I20" s="116"/>
      <c r="J20" s="111"/>
      <c r="K20" s="111"/>
      <c r="L20" s="111"/>
      <c r="M20" s="111"/>
      <c r="N20" s="111"/>
      <c r="P20" s="56"/>
      <c r="Q20" s="56"/>
      <c r="R20" s="69"/>
      <c r="S20" s="63"/>
      <c r="T20" s="63"/>
      <c r="U20" s="63"/>
    </row>
    <row r="21" spans="2:21" s="18" customFormat="1" ht="16.5" customHeight="1" x14ac:dyDescent="0.3">
      <c r="B21" s="116"/>
      <c r="C21" s="116"/>
      <c r="D21" s="116"/>
      <c r="E21" s="116"/>
      <c r="F21" s="116"/>
      <c r="G21" s="116"/>
      <c r="H21" s="116"/>
      <c r="I21" s="116"/>
      <c r="J21" s="145"/>
      <c r="K21" s="111"/>
      <c r="L21" s="111"/>
      <c r="M21" s="111"/>
      <c r="N21" s="145"/>
      <c r="P21" s="56"/>
      <c r="Q21" s="56"/>
      <c r="R21" s="69"/>
      <c r="S21" s="63"/>
      <c r="T21" s="63"/>
      <c r="U21" s="63"/>
    </row>
    <row r="22" spans="2:21" s="18" customFormat="1" ht="20.100000000000001" customHeight="1" x14ac:dyDescent="0.3">
      <c r="B22" s="471" t="s">
        <v>2</v>
      </c>
      <c r="C22" s="471"/>
      <c r="D22" s="471"/>
      <c r="E22" s="471"/>
      <c r="F22" s="471"/>
      <c r="G22" s="471"/>
      <c r="H22" s="166"/>
      <c r="I22" s="166"/>
      <c r="J22" s="132"/>
      <c r="K22" s="111"/>
      <c r="L22" s="111"/>
      <c r="M22" s="111"/>
      <c r="N22" s="111"/>
      <c r="P22" s="63"/>
      <c r="Q22" s="63"/>
      <c r="R22" s="63"/>
      <c r="S22" s="63"/>
      <c r="T22" s="63"/>
      <c r="U22" s="63"/>
    </row>
    <row r="23" spans="2:21" s="18" customFormat="1" ht="16.2" thickBot="1" x14ac:dyDescent="0.35">
      <c r="B23" s="133"/>
      <c r="C23" s="134"/>
      <c r="D23" s="134"/>
      <c r="E23" s="134"/>
      <c r="F23" s="167"/>
      <c r="G23" s="167"/>
      <c r="H23" s="131"/>
      <c r="I23" s="132"/>
      <c r="J23" s="111"/>
      <c r="K23" s="158"/>
      <c r="L23" s="158"/>
      <c r="M23" s="111"/>
      <c r="N23" s="111"/>
      <c r="P23" s="63"/>
      <c r="Q23" s="63"/>
      <c r="R23" s="63"/>
      <c r="S23" s="63"/>
      <c r="T23" s="63"/>
      <c r="U23" s="63"/>
    </row>
    <row r="24" spans="2:21" s="18" customFormat="1" ht="79.5" customHeight="1" x14ac:dyDescent="0.3">
      <c r="B24" s="115" t="s">
        <v>69</v>
      </c>
      <c r="C24" s="477" t="s">
        <v>300</v>
      </c>
      <c r="D24" s="478"/>
      <c r="E24" s="478"/>
      <c r="F24" s="479"/>
      <c r="G24" s="155" t="s">
        <v>21</v>
      </c>
      <c r="H24" s="168"/>
      <c r="I24" s="135" t="s">
        <v>39</v>
      </c>
      <c r="J24" s="111"/>
      <c r="K24" s="511"/>
      <c r="L24" s="511"/>
      <c r="M24" s="111"/>
      <c r="N24" s="111"/>
    </row>
    <row r="25" spans="2:21" s="18" customFormat="1" ht="33" customHeight="1" x14ac:dyDescent="0.3">
      <c r="B25" s="132"/>
      <c r="C25" s="518" t="s">
        <v>377</v>
      </c>
      <c r="D25" s="518"/>
      <c r="E25" s="518"/>
      <c r="F25" s="518"/>
      <c r="G25" s="170" t="s">
        <v>123</v>
      </c>
      <c r="H25" s="131"/>
      <c r="I25" s="132"/>
      <c r="J25" s="111"/>
      <c r="K25" s="158"/>
      <c r="L25" s="158"/>
      <c r="M25" s="111"/>
      <c r="N25" s="111"/>
    </row>
    <row r="26" spans="2:21" s="18" customFormat="1" ht="20.100000000000001" customHeight="1" x14ac:dyDescent="0.3">
      <c r="B26" s="132"/>
      <c r="C26" s="134"/>
      <c r="D26" s="171"/>
      <c r="E26" s="145"/>
      <c r="F26" s="172" t="s">
        <v>155</v>
      </c>
      <c r="G26" s="154">
        <f>IF(NNSpec&lt;"a","",VLOOKUP(NNSpec,LU_NNSp_Score,2,FALSE))</f>
        <v>1</v>
      </c>
      <c r="H26" s="141"/>
      <c r="I26" s="132"/>
      <c r="J26" s="111"/>
      <c r="K26" s="158"/>
      <c r="L26" s="158"/>
      <c r="M26" s="111"/>
      <c r="N26" s="111"/>
    </row>
    <row r="27" spans="2:21" s="18" customFormat="1" ht="15.6" x14ac:dyDescent="0.3">
      <c r="B27" s="132"/>
      <c r="C27" s="134"/>
      <c r="D27" s="171"/>
      <c r="E27" s="171"/>
      <c r="F27" s="171"/>
      <c r="G27" s="173"/>
      <c r="H27" s="145"/>
      <c r="I27" s="112"/>
      <c r="J27" s="113"/>
      <c r="K27" s="158"/>
      <c r="L27" s="158"/>
      <c r="M27" s="111"/>
      <c r="N27" s="111"/>
    </row>
    <row r="28" spans="2:21" s="18" customFormat="1" ht="16.5" customHeight="1" x14ac:dyDescent="0.3">
      <c r="B28" s="116"/>
      <c r="C28" s="399" t="s">
        <v>223</v>
      </c>
      <c r="D28" s="399"/>
      <c r="E28" s="399"/>
      <c r="F28" s="399"/>
      <c r="G28" s="399"/>
      <c r="H28" s="116"/>
      <c r="I28" s="116"/>
      <c r="J28" s="111"/>
      <c r="K28" s="111"/>
      <c r="L28" s="111"/>
      <c r="M28" s="111"/>
      <c r="N28" s="111"/>
      <c r="P28" s="56"/>
      <c r="Q28" s="56"/>
      <c r="R28" s="69"/>
      <c r="S28" s="63"/>
      <c r="T28" s="63"/>
      <c r="U28" s="63"/>
    </row>
    <row r="29" spans="2:21" s="18" customFormat="1" ht="35.1" customHeight="1" x14ac:dyDescent="0.3">
      <c r="B29" s="116"/>
      <c r="C29" s="488"/>
      <c r="D29" s="488"/>
      <c r="E29" s="488"/>
      <c r="F29" s="488"/>
      <c r="G29" s="488"/>
      <c r="H29" s="116"/>
      <c r="I29" s="116"/>
      <c r="J29" s="111"/>
      <c r="K29" s="111"/>
      <c r="L29" s="111"/>
      <c r="M29" s="111"/>
      <c r="N29" s="111"/>
      <c r="P29" s="56"/>
      <c r="Q29" s="56"/>
      <c r="R29" s="69"/>
      <c r="S29" s="63"/>
      <c r="T29" s="63"/>
      <c r="U29" s="63"/>
    </row>
    <row r="30" spans="2:21" s="18" customFormat="1" ht="15.6" x14ac:dyDescent="0.3">
      <c r="B30" s="132"/>
      <c r="C30" s="134"/>
      <c r="D30" s="171"/>
      <c r="E30" s="171"/>
      <c r="F30" s="171"/>
      <c r="G30" s="173"/>
      <c r="H30" s="131"/>
      <c r="I30" s="132"/>
      <c r="J30" s="111"/>
      <c r="K30" s="158"/>
      <c r="L30" s="158"/>
      <c r="M30" s="111"/>
      <c r="N30" s="111"/>
    </row>
    <row r="31" spans="2:21" s="18" customFormat="1" ht="20.100000000000001" customHeight="1" x14ac:dyDescent="0.3">
      <c r="B31" s="489" t="s">
        <v>0</v>
      </c>
      <c r="C31" s="490"/>
      <c r="D31" s="490"/>
      <c r="E31" s="490"/>
      <c r="F31" s="490"/>
      <c r="G31" s="491"/>
      <c r="H31" s="131"/>
      <c r="I31" s="132"/>
      <c r="J31" s="111"/>
      <c r="K31" s="111"/>
      <c r="L31" s="111"/>
      <c r="M31" s="111"/>
      <c r="N31" s="111"/>
    </row>
    <row r="32" spans="2:21" s="18" customFormat="1" ht="16.2" thickBot="1" x14ac:dyDescent="0.35">
      <c r="B32" s="132"/>
      <c r="C32" s="504"/>
      <c r="D32" s="504"/>
      <c r="E32" s="504"/>
      <c r="F32" s="133"/>
      <c r="G32" s="132"/>
      <c r="H32" s="131"/>
      <c r="I32" s="132"/>
      <c r="J32" s="111"/>
      <c r="K32" s="111"/>
      <c r="L32" s="111"/>
      <c r="M32" s="111"/>
      <c r="N32" s="111"/>
    </row>
    <row r="33" spans="2:21" s="18" customFormat="1" ht="65.099999999999994" customHeight="1" x14ac:dyDescent="0.3">
      <c r="B33" s="115" t="s">
        <v>72</v>
      </c>
      <c r="C33" s="477" t="s">
        <v>379</v>
      </c>
      <c r="D33" s="478"/>
      <c r="E33" s="478"/>
      <c r="F33" s="479"/>
      <c r="G33" s="150" t="s">
        <v>21</v>
      </c>
      <c r="H33" s="131"/>
      <c r="I33" s="135" t="s">
        <v>5</v>
      </c>
      <c r="J33" s="111"/>
      <c r="K33" s="111"/>
      <c r="L33" s="111"/>
      <c r="M33" s="111"/>
      <c r="N33" s="111"/>
    </row>
    <row r="34" spans="2:21" s="18" customFormat="1" ht="20.100000000000001" customHeight="1" x14ac:dyDescent="0.3">
      <c r="B34" s="132"/>
      <c r="C34" s="492" t="s">
        <v>1</v>
      </c>
      <c r="D34" s="493"/>
      <c r="E34" s="493"/>
      <c r="F34" s="494"/>
      <c r="G34" s="174" t="s">
        <v>17</v>
      </c>
      <c r="H34" s="131"/>
      <c r="I34" s="132"/>
      <c r="J34" s="111"/>
      <c r="K34" s="111"/>
      <c r="L34" s="111"/>
      <c r="M34" s="111"/>
      <c r="N34" s="111"/>
    </row>
    <row r="35" spans="2:21" s="18" customFormat="1" ht="20.100000000000001" customHeight="1" x14ac:dyDescent="0.3">
      <c r="B35" s="132"/>
      <c r="C35" s="134"/>
      <c r="D35" s="171"/>
      <c r="E35" s="145"/>
      <c r="F35" s="153" t="s">
        <v>155</v>
      </c>
      <c r="G35" s="163">
        <f>IF(DEQ303d&lt;"a","",VLOOKUP(DEQ303d,LU_DEQ303D_Score,2,FALSE))</f>
        <v>1</v>
      </c>
      <c r="H35" s="131"/>
      <c r="I35" s="132"/>
      <c r="J35" s="111"/>
      <c r="K35" s="158"/>
      <c r="L35" s="158"/>
      <c r="M35" s="111"/>
      <c r="N35" s="111"/>
    </row>
    <row r="36" spans="2:21" s="18" customFormat="1" ht="20.25" customHeight="1" thickBot="1" x14ac:dyDescent="0.35">
      <c r="B36" s="132"/>
      <c r="C36" s="134"/>
      <c r="D36" s="134"/>
      <c r="E36" s="134"/>
      <c r="F36" s="134"/>
      <c r="G36" s="134"/>
      <c r="H36" s="175"/>
      <c r="I36" s="132"/>
      <c r="J36" s="111"/>
      <c r="K36" s="519" t="s">
        <v>235</v>
      </c>
      <c r="L36" s="519"/>
      <c r="M36" s="519"/>
      <c r="N36" s="519"/>
    </row>
    <row r="37" spans="2:21" s="18" customFormat="1" ht="54.75" customHeight="1" x14ac:dyDescent="0.3">
      <c r="B37" s="115" t="s">
        <v>73</v>
      </c>
      <c r="C37" s="495" t="s">
        <v>264</v>
      </c>
      <c r="D37" s="496"/>
      <c r="E37" s="496"/>
      <c r="F37" s="497"/>
      <c r="G37" s="155" t="s">
        <v>21</v>
      </c>
      <c r="H37" s="131"/>
      <c r="I37" s="135" t="s">
        <v>36</v>
      </c>
      <c r="J37" s="111"/>
      <c r="K37" s="520" t="s">
        <v>174</v>
      </c>
      <c r="L37" s="520"/>
      <c r="M37" s="520"/>
      <c r="N37" s="111"/>
    </row>
    <row r="38" spans="2:21" s="18" customFormat="1" ht="46.8" x14ac:dyDescent="0.3">
      <c r="B38" s="132"/>
      <c r="C38" s="492" t="s">
        <v>60</v>
      </c>
      <c r="D38" s="493"/>
      <c r="E38" s="493"/>
      <c r="F38" s="494"/>
      <c r="G38" s="156" t="s">
        <v>153</v>
      </c>
      <c r="H38" s="131"/>
      <c r="I38" s="132"/>
      <c r="J38" s="111"/>
      <c r="K38" s="137" t="s">
        <v>247</v>
      </c>
      <c r="L38" s="137" t="s">
        <v>249</v>
      </c>
      <c r="M38" s="137" t="s">
        <v>248</v>
      </c>
      <c r="N38" s="137" t="s">
        <v>46</v>
      </c>
    </row>
    <row r="39" spans="2:21" s="18" customFormat="1" ht="20.100000000000001" customHeight="1" x14ac:dyDescent="0.3">
      <c r="B39" s="132"/>
      <c r="C39" s="134"/>
      <c r="D39" s="134"/>
      <c r="E39" s="134"/>
      <c r="F39" s="153" t="s">
        <v>155</v>
      </c>
      <c r="G39" s="154">
        <f>IF(PctAgriculture&lt;"a","",VLOOKUP(PctAgriculture,LU_PctAgrigulture_Score,2,FALSE))</f>
        <v>1</v>
      </c>
      <c r="H39" s="141"/>
      <c r="I39" s="132"/>
      <c r="J39" s="111"/>
      <c r="K39" s="130"/>
      <c r="L39" s="130"/>
      <c r="M39" s="130"/>
      <c r="N39" s="176" t="str">
        <f>IF(M39="","",(K39+L39)/M39*100)</f>
        <v/>
      </c>
    </row>
    <row r="40" spans="2:21" s="18" customFormat="1" ht="16.2" thickBot="1" x14ac:dyDescent="0.35">
      <c r="B40" s="132"/>
      <c r="C40" s="142"/>
      <c r="D40" s="142"/>
      <c r="E40" s="142"/>
      <c r="F40" s="134"/>
      <c r="G40" s="134"/>
      <c r="H40" s="145"/>
      <c r="I40" s="112"/>
      <c r="J40" s="113"/>
      <c r="K40" s="111"/>
      <c r="L40" s="111"/>
      <c r="M40" s="111"/>
      <c r="N40" s="111"/>
    </row>
    <row r="41" spans="2:21" s="18" customFormat="1" ht="28.5" customHeight="1" x14ac:dyDescent="0.3">
      <c r="B41" s="115" t="s">
        <v>74</v>
      </c>
      <c r="C41" s="501" t="s">
        <v>265</v>
      </c>
      <c r="D41" s="502"/>
      <c r="E41" s="502"/>
      <c r="F41" s="503"/>
      <c r="G41" s="155" t="s">
        <v>21</v>
      </c>
      <c r="H41" s="166"/>
      <c r="I41" s="177" t="s">
        <v>61</v>
      </c>
      <c r="J41" s="111"/>
      <c r="K41" s="521" t="s">
        <v>236</v>
      </c>
      <c r="L41" s="521"/>
      <c r="M41" s="521"/>
      <c r="N41" s="111"/>
    </row>
    <row r="42" spans="2:21" s="18" customFormat="1" ht="47.25" customHeight="1" x14ac:dyDescent="0.3">
      <c r="B42" s="158"/>
      <c r="C42" s="492" t="s">
        <v>266</v>
      </c>
      <c r="D42" s="493"/>
      <c r="E42" s="493"/>
      <c r="F42" s="494"/>
      <c r="G42" s="156" t="s">
        <v>424</v>
      </c>
      <c r="H42" s="131"/>
      <c r="I42" s="132"/>
      <c r="J42" s="111"/>
      <c r="K42" s="209" t="s">
        <v>175</v>
      </c>
      <c r="L42" s="224" t="s">
        <v>316</v>
      </c>
      <c r="M42" s="209" t="s">
        <v>267</v>
      </c>
      <c r="N42" s="209" t="s">
        <v>176</v>
      </c>
      <c r="O42" s="111"/>
    </row>
    <row r="43" spans="2:21" s="18" customFormat="1" ht="20.100000000000001" customHeight="1" x14ac:dyDescent="0.3">
      <c r="B43" s="132"/>
      <c r="C43" s="111"/>
      <c r="D43" s="111"/>
      <c r="E43" s="111"/>
      <c r="F43" s="153" t="s">
        <v>155</v>
      </c>
      <c r="G43" s="154">
        <f>IF(RoadDensity&lt;"a","",VLOOKUP(RoadDensity,LU_RoadDensity_Score,2,FALSE))</f>
        <v>0.3</v>
      </c>
      <c r="H43" s="141"/>
      <c r="I43" s="132"/>
      <c r="J43" s="111"/>
      <c r="K43" s="178">
        <v>3.18</v>
      </c>
      <c r="L43" s="259">
        <v>1463</v>
      </c>
      <c r="M43" s="176">
        <f>IF(L43="","",L43*900 *0.0000003861)</f>
        <v>0.50837787000000001</v>
      </c>
      <c r="N43" s="176">
        <f>IF(OR(K43="",M43=""),"",K43/M43)</f>
        <v>6.2551896682678185</v>
      </c>
      <c r="O43" s="111"/>
    </row>
    <row r="44" spans="2:21" s="19" customFormat="1" ht="15.6" x14ac:dyDescent="0.3">
      <c r="B44" s="132"/>
      <c r="C44" s="158"/>
      <c r="D44" s="158"/>
      <c r="E44" s="158"/>
      <c r="F44" s="179"/>
      <c r="G44" s="180"/>
      <c r="H44" s="145"/>
      <c r="I44" s="112"/>
      <c r="J44" s="145"/>
      <c r="K44" s="165"/>
      <c r="L44" s="165"/>
      <c r="M44" s="165"/>
      <c r="N44" s="158"/>
    </row>
    <row r="45" spans="2:21" s="18" customFormat="1" ht="16.5" customHeight="1" x14ac:dyDescent="0.3">
      <c r="B45" s="116"/>
      <c r="C45" s="399" t="s">
        <v>222</v>
      </c>
      <c r="D45" s="399"/>
      <c r="E45" s="399"/>
      <c r="F45" s="399"/>
      <c r="G45" s="399"/>
      <c r="H45" s="116"/>
      <c r="I45" s="116"/>
      <c r="J45" s="111"/>
      <c r="K45" s="111"/>
      <c r="L45" s="111"/>
      <c r="M45" s="111"/>
      <c r="N45" s="111"/>
      <c r="P45" s="56"/>
      <c r="Q45" s="56"/>
      <c r="R45" s="69"/>
      <c r="S45" s="63"/>
      <c r="T45" s="63"/>
      <c r="U45" s="63"/>
    </row>
    <row r="46" spans="2:21" s="18" customFormat="1" ht="35.1" customHeight="1" x14ac:dyDescent="0.3">
      <c r="B46" s="116"/>
      <c r="C46" s="488"/>
      <c r="D46" s="488"/>
      <c r="E46" s="488"/>
      <c r="F46" s="488"/>
      <c r="G46" s="488"/>
      <c r="H46" s="116"/>
      <c r="I46" s="116"/>
      <c r="J46" s="111"/>
      <c r="K46" s="111"/>
      <c r="L46" s="111"/>
      <c r="M46" s="111"/>
      <c r="N46" s="111"/>
      <c r="P46" s="56"/>
      <c r="Q46" s="56"/>
      <c r="R46" s="69"/>
      <c r="S46" s="63"/>
      <c r="T46" s="63"/>
      <c r="U46" s="63"/>
    </row>
    <row r="47" spans="2:21" s="18" customFormat="1" ht="12.75" customHeight="1" x14ac:dyDescent="0.3">
      <c r="B47" s="132"/>
      <c r="C47" s="142"/>
      <c r="D47" s="142"/>
      <c r="E47" s="142"/>
      <c r="F47" s="144"/>
      <c r="G47" s="144"/>
      <c r="H47" s="131"/>
      <c r="I47" s="132"/>
      <c r="J47" s="111"/>
      <c r="K47" s="111"/>
      <c r="L47" s="111"/>
      <c r="M47" s="111"/>
      <c r="N47" s="111"/>
    </row>
    <row r="48" spans="2:21" s="18" customFormat="1" ht="20.100000000000001" customHeight="1" x14ac:dyDescent="0.3">
      <c r="B48" s="489" t="s">
        <v>89</v>
      </c>
      <c r="C48" s="490"/>
      <c r="D48" s="490"/>
      <c r="E48" s="490"/>
      <c r="F48" s="490"/>
      <c r="G48" s="491"/>
      <c r="H48" s="131"/>
      <c r="I48" s="132"/>
      <c r="J48" s="111"/>
      <c r="K48" s="111"/>
      <c r="L48" s="111"/>
      <c r="M48" s="111"/>
      <c r="N48" s="111"/>
    </row>
    <row r="49" spans="2:21" s="18" customFormat="1" ht="18" customHeight="1" thickBot="1" x14ac:dyDescent="0.35">
      <c r="B49" s="132"/>
      <c r="C49" s="111"/>
      <c r="D49" s="111"/>
      <c r="E49" s="111"/>
      <c r="F49" s="133"/>
      <c r="G49" s="132"/>
      <c r="H49" s="131"/>
      <c r="I49" s="132"/>
      <c r="J49" s="111"/>
      <c r="K49" s="522" t="s">
        <v>237</v>
      </c>
      <c r="L49" s="522"/>
      <c r="M49" s="522"/>
      <c r="N49" s="111"/>
    </row>
    <row r="50" spans="2:21" s="18" customFormat="1" ht="50.1" customHeight="1" x14ac:dyDescent="0.3">
      <c r="B50" s="115" t="s">
        <v>76</v>
      </c>
      <c r="C50" s="498" t="s">
        <v>301</v>
      </c>
      <c r="D50" s="499"/>
      <c r="E50" s="499"/>
      <c r="F50" s="500"/>
      <c r="G50" s="150" t="s">
        <v>21</v>
      </c>
      <c r="H50" s="131"/>
      <c r="I50" s="115"/>
      <c r="J50" s="111"/>
      <c r="K50" s="209" t="s">
        <v>177</v>
      </c>
      <c r="L50" s="209" t="s">
        <v>318</v>
      </c>
      <c r="M50" s="209" t="s">
        <v>176</v>
      </c>
      <c r="N50" s="111"/>
    </row>
    <row r="51" spans="2:21" s="18" customFormat="1" ht="30" customHeight="1" x14ac:dyDescent="0.3">
      <c r="B51" s="132"/>
      <c r="C51" s="492" t="s">
        <v>59</v>
      </c>
      <c r="D51" s="493"/>
      <c r="E51" s="493"/>
      <c r="F51" s="494"/>
      <c r="G51" s="161" t="s">
        <v>140</v>
      </c>
      <c r="H51" s="131"/>
      <c r="I51" s="132"/>
      <c r="J51" s="111"/>
      <c r="K51" s="130">
        <v>0</v>
      </c>
      <c r="L51" s="178"/>
      <c r="M51" s="181" t="str">
        <f>IF(OR(K51="",L51=""),"", IF(L51=0,0,K51/L51))</f>
        <v/>
      </c>
      <c r="N51" s="111"/>
    </row>
    <row r="52" spans="2:21" ht="20.100000000000001" customHeight="1" x14ac:dyDescent="0.3">
      <c r="B52" s="132"/>
      <c r="C52" s="142"/>
      <c r="D52" s="142"/>
      <c r="E52" s="142"/>
      <c r="F52" s="153" t="s">
        <v>155</v>
      </c>
      <c r="G52" s="163">
        <f>IF(StreamXDen&lt;"a","",VLOOKUP(StreamXDen,LU_StreamXDensity_Score,2,FALSE))</f>
        <v>1</v>
      </c>
      <c r="H52" s="98"/>
      <c r="I52" s="132"/>
      <c r="J52" s="111"/>
      <c r="K52" s="517" t="s">
        <v>178</v>
      </c>
      <c r="L52" s="517"/>
      <c r="M52" s="517"/>
      <c r="N52" s="111"/>
      <c r="O52" s="18"/>
      <c r="P52" s="18"/>
    </row>
    <row r="53" spans="2:21" ht="12.75" customHeight="1" x14ac:dyDescent="0.3">
      <c r="B53" s="98"/>
      <c r="C53" s="98"/>
      <c r="D53" s="98"/>
      <c r="E53" s="98"/>
      <c r="F53" s="98"/>
      <c r="G53" s="98"/>
      <c r="H53" s="98"/>
      <c r="I53" s="98"/>
      <c r="J53" s="98"/>
      <c r="K53" s="98"/>
      <c r="L53" s="98"/>
      <c r="M53" s="98"/>
      <c r="N53" s="98"/>
    </row>
    <row r="54" spans="2:21" s="18" customFormat="1" ht="16.5" customHeight="1" x14ac:dyDescent="0.3">
      <c r="B54" s="116"/>
      <c r="C54" s="399" t="s">
        <v>221</v>
      </c>
      <c r="D54" s="399"/>
      <c r="E54" s="399"/>
      <c r="F54" s="399"/>
      <c r="G54" s="399"/>
      <c r="H54" s="116"/>
      <c r="I54" s="116"/>
      <c r="J54" s="111"/>
      <c r="K54" s="111"/>
      <c r="L54" s="111"/>
      <c r="M54" s="111"/>
      <c r="N54" s="111"/>
      <c r="P54" s="56"/>
      <c r="Q54" s="56"/>
      <c r="R54" s="69"/>
      <c r="S54" s="63"/>
      <c r="T54" s="63"/>
      <c r="U54" s="63"/>
    </row>
    <row r="55" spans="2:21" s="18" customFormat="1" ht="35.1" customHeight="1" x14ac:dyDescent="0.3">
      <c r="B55" s="116"/>
      <c r="C55" s="488"/>
      <c r="D55" s="488"/>
      <c r="E55" s="488"/>
      <c r="F55" s="488"/>
      <c r="G55" s="488"/>
      <c r="H55" s="116"/>
      <c r="I55" s="116"/>
      <c r="J55" s="111"/>
      <c r="K55" s="111"/>
      <c r="L55" s="111"/>
      <c r="M55" s="111"/>
      <c r="N55" s="111"/>
      <c r="P55" s="56"/>
      <c r="Q55" s="56"/>
      <c r="R55" s="69"/>
      <c r="S55" s="63"/>
      <c r="T55" s="63"/>
      <c r="U55" s="63"/>
    </row>
    <row r="56" spans="2:21" ht="15.6" x14ac:dyDescent="0.3">
      <c r="B56" s="98"/>
      <c r="C56" s="98"/>
      <c r="D56" s="98"/>
      <c r="E56" s="98"/>
      <c r="F56" s="98"/>
      <c r="G56" s="98"/>
      <c r="H56" s="98"/>
      <c r="I56" s="98"/>
      <c r="J56" s="98"/>
      <c r="K56" s="98"/>
      <c r="L56" s="98"/>
      <c r="M56" s="98"/>
      <c r="N56" s="98"/>
    </row>
  </sheetData>
  <dataConsolidate/>
  <mergeCells count="41">
    <mergeCell ref="K52:M52"/>
    <mergeCell ref="C25:F25"/>
    <mergeCell ref="K36:N36"/>
    <mergeCell ref="K37:M37"/>
    <mergeCell ref="K41:M41"/>
    <mergeCell ref="C38:F38"/>
    <mergeCell ref="C45:G45"/>
    <mergeCell ref="C46:G46"/>
    <mergeCell ref="K49:M49"/>
    <mergeCell ref="B3:E3"/>
    <mergeCell ref="C6:G6"/>
    <mergeCell ref="C28:G28"/>
    <mergeCell ref="C29:G29"/>
    <mergeCell ref="P14:R14"/>
    <mergeCell ref="P10:R10"/>
    <mergeCell ref="K9:M9"/>
    <mergeCell ref="K24:L24"/>
    <mergeCell ref="C24:F24"/>
    <mergeCell ref="C10:F10"/>
    <mergeCell ref="C15:F15"/>
    <mergeCell ref="C16:F16"/>
    <mergeCell ref="C11:F11"/>
    <mergeCell ref="K14:N14"/>
    <mergeCell ref="K10:N10"/>
    <mergeCell ref="J6:O6"/>
    <mergeCell ref="C54:G54"/>
    <mergeCell ref="C55:G55"/>
    <mergeCell ref="B31:G31"/>
    <mergeCell ref="B22:G22"/>
    <mergeCell ref="B8:G8"/>
    <mergeCell ref="C19:G19"/>
    <mergeCell ref="C20:G20"/>
    <mergeCell ref="B48:G48"/>
    <mergeCell ref="C33:F33"/>
    <mergeCell ref="C34:F34"/>
    <mergeCell ref="C37:F37"/>
    <mergeCell ref="C51:F51"/>
    <mergeCell ref="C50:F50"/>
    <mergeCell ref="C41:F41"/>
    <mergeCell ref="C42:F42"/>
    <mergeCell ref="C32:E32"/>
  </mergeCells>
  <dataValidations count="1">
    <dataValidation type="list" allowBlank="1" showInputMessage="1" showErrorMessage="1" sqref="G30">
      <formula1>Yes_No</formula1>
    </dataValidation>
  </dataValidations>
  <printOptions horizontalCentered="1"/>
  <pageMargins left="0.5" right="0.5" top="0.5" bottom="0.5" header="0.3" footer="0.3"/>
  <pageSetup scale="65" fitToHeight="0" orientation="landscape" r:id="rId1"/>
  <headerFooter>
    <oddFooter>&amp;C&amp;P</oddFooter>
  </headerFooter>
  <rowBreaks count="1" manualBreakCount="1">
    <brk id="30" min="1" max="14" man="1"/>
  </row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'Dropdown lists'!$C$37:$C$42</xm:f>
          </x14:formula1>
          <xm:sqref>G16</xm:sqref>
        </x14:dataValidation>
        <x14:dataValidation type="list" allowBlank="1" showInputMessage="1" showErrorMessage="1">
          <x14:formula1>
            <xm:f>'Dropdown lists'!$C$37:$C$42</xm:f>
          </x14:formula1>
          <xm:sqref>G11</xm:sqref>
        </x14:dataValidation>
        <x14:dataValidation type="list" allowBlank="1" showInputMessage="1" showErrorMessage="1">
          <x14:formula1>
            <xm:f>'Dropdown lists'!$F$37:$F$40</xm:f>
          </x14:formula1>
          <xm:sqref>G25</xm:sqref>
        </x14:dataValidation>
        <x14:dataValidation type="list" allowBlank="1" showInputMessage="1" showErrorMessage="1">
          <x14:formula1>
            <xm:f>'Dropdown lists'!$I$37:$I$39</xm:f>
          </x14:formula1>
          <xm:sqref>G34</xm:sqref>
        </x14:dataValidation>
        <x14:dataValidation type="list" allowBlank="1" showInputMessage="1" showErrorMessage="1">
          <x14:formula1>
            <xm:f>'Dropdown lists'!$C$46:$C$50</xm:f>
          </x14:formula1>
          <xm:sqref>G38</xm:sqref>
        </x14:dataValidation>
        <x14:dataValidation type="list" allowBlank="1" showInputMessage="1" showErrorMessage="1">
          <x14:formula1>
            <xm:f>'Dropdown lists'!$F$46:$F$49</xm:f>
          </x14:formula1>
          <xm:sqref>G42</xm:sqref>
        </x14:dataValidation>
        <x14:dataValidation type="list" allowBlank="1" showInputMessage="1" showErrorMessage="1">
          <x14:formula1>
            <xm:f>'Dropdown lists'!$I$46:$I$49</xm:f>
          </x14:formula1>
          <xm:sqref>G51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33"/>
    <pageSetUpPr fitToPage="1"/>
  </sheetPr>
  <dimension ref="A1:AA56"/>
  <sheetViews>
    <sheetView tabSelected="1" zoomScale="70" zoomScaleNormal="70" zoomScalePageLayoutView="40" workbookViewId="0">
      <selection activeCell="R4" sqref="R4"/>
    </sheetView>
  </sheetViews>
  <sheetFormatPr defaultRowHeight="14.4" x14ac:dyDescent="0.3"/>
  <cols>
    <col min="1" max="1" width="4.6640625" style="17" customWidth="1"/>
    <col min="2" max="2" width="10.44140625" customWidth="1"/>
    <col min="3" max="3" width="15.44140625" style="17" customWidth="1"/>
    <col min="4" max="4" width="10.6640625" customWidth="1"/>
    <col min="5" max="5" width="10.88671875" customWidth="1"/>
    <col min="6" max="6" width="12.44140625" customWidth="1"/>
    <col min="7" max="7" width="10.109375" customWidth="1"/>
    <col min="8" max="8" width="11.6640625" customWidth="1"/>
    <col min="9" max="9" width="10.109375" customWidth="1"/>
    <col min="10" max="10" width="10.33203125" customWidth="1"/>
    <col min="11" max="11" width="8.6640625" customWidth="1"/>
    <col min="12" max="12" width="11" customWidth="1"/>
    <col min="13" max="13" width="7.44140625" customWidth="1"/>
    <col min="14" max="14" width="15" customWidth="1"/>
    <col min="15" max="15" width="11.5546875" style="17" customWidth="1"/>
    <col min="16" max="16" width="13.109375" style="17" customWidth="1"/>
    <col min="17" max="17" width="9.88671875" customWidth="1"/>
    <col min="18" max="18" width="7" customWidth="1"/>
    <col min="19" max="19" width="12.6640625" customWidth="1"/>
    <col min="20" max="20" width="14.33203125" customWidth="1"/>
    <col min="21" max="21" width="12.5546875" customWidth="1"/>
  </cols>
  <sheetData>
    <row r="1" spans="1:27" s="2" customFormat="1" ht="30" customHeight="1" x14ac:dyDescent="0.3">
      <c r="A1" s="18"/>
      <c r="B1" s="182" t="str">
        <f>CONCATENATE('Cover Page'!B1:L1," ", 'Cover Page'!B2:L2," - CREDIT CALCULATIONS")</f>
        <v>FISH PASSAGE CREDIT CALCULATOR Version 1.1 - CREDIT CALCULATIONS</v>
      </c>
      <c r="C1" s="66"/>
      <c r="D1" s="66"/>
      <c r="E1" s="66"/>
      <c r="F1" s="61"/>
      <c r="G1" s="61"/>
      <c r="H1" s="61"/>
      <c r="O1" s="18"/>
      <c r="P1" s="197"/>
    </row>
    <row r="2" spans="1:27" s="2" customFormat="1" ht="13.5" customHeight="1" x14ac:dyDescent="0.3">
      <c r="A2" s="18"/>
      <c r="B2" s="15"/>
      <c r="C2" s="15"/>
      <c r="D2" s="3"/>
      <c r="E2" s="3"/>
      <c r="K2" s="529"/>
      <c r="L2" s="529"/>
      <c r="O2" s="18"/>
      <c r="P2" s="18"/>
      <c r="R2" s="63"/>
    </row>
    <row r="3" spans="1:27" s="18" customFormat="1" ht="30" customHeight="1" x14ac:dyDescent="0.3">
      <c r="B3" s="401" t="str">
        <f>IF(Project_Site = "","", Project_Site)</f>
        <v>Hwy 101  MP 57.2 Miami tributary, Electric Creek</v>
      </c>
      <c r="C3" s="401"/>
      <c r="D3" s="401"/>
      <c r="E3" s="401"/>
      <c r="F3" s="401"/>
      <c r="G3" s="401"/>
      <c r="H3" s="401"/>
      <c r="I3" s="94"/>
      <c r="J3" s="547" t="s">
        <v>162</v>
      </c>
      <c r="K3" s="547"/>
      <c r="L3" s="547"/>
      <c r="M3" s="547"/>
      <c r="N3" s="547"/>
      <c r="O3" s="547"/>
      <c r="P3" s="547"/>
      <c r="R3" s="94"/>
    </row>
    <row r="4" spans="1:27" s="18" customFormat="1" ht="20.25" customHeight="1" x14ac:dyDescent="0.3">
      <c r="B4" s="15"/>
      <c r="C4" s="15"/>
      <c r="D4" s="24"/>
      <c r="E4" s="24"/>
      <c r="K4" s="214"/>
      <c r="L4" s="214"/>
      <c r="Q4" s="190"/>
      <c r="R4" s="63"/>
      <c r="S4" s="190"/>
      <c r="T4" s="190"/>
      <c r="U4" s="190"/>
    </row>
    <row r="5" spans="1:27" ht="20.100000000000001" customHeight="1" x14ac:dyDescent="0.3">
      <c r="B5" s="544" t="s">
        <v>183</v>
      </c>
      <c r="C5" s="545"/>
      <c r="D5" s="545"/>
      <c r="E5" s="545"/>
      <c r="F5" s="545"/>
      <c r="G5" s="545"/>
      <c r="H5" s="545"/>
      <c r="I5" s="545"/>
      <c r="J5" s="545"/>
      <c r="K5" s="546"/>
      <c r="L5" s="546"/>
      <c r="M5" s="545"/>
      <c r="N5" s="545"/>
      <c r="O5" s="545"/>
      <c r="P5" s="545"/>
      <c r="Q5" s="191"/>
      <c r="R5" s="191"/>
      <c r="S5" s="191"/>
      <c r="T5" s="191"/>
      <c r="U5" s="191"/>
    </row>
    <row r="6" spans="1:27" ht="60.75" customHeight="1" x14ac:dyDescent="0.3">
      <c r="B6" s="548" t="s">
        <v>104</v>
      </c>
      <c r="C6" s="548"/>
      <c r="D6" s="192" t="s">
        <v>105</v>
      </c>
      <c r="E6" s="550" t="s">
        <v>106</v>
      </c>
      <c r="F6" s="552"/>
      <c r="G6" s="552"/>
      <c r="H6" s="552"/>
      <c r="I6" s="551"/>
      <c r="J6" s="550" t="s">
        <v>409</v>
      </c>
      <c r="K6" s="551"/>
      <c r="L6" s="532" t="s">
        <v>250</v>
      </c>
      <c r="M6" s="532"/>
      <c r="N6" s="193" t="s">
        <v>184</v>
      </c>
      <c r="O6" s="530" t="s">
        <v>185</v>
      </c>
      <c r="P6" s="530"/>
      <c r="Q6" s="33"/>
      <c r="R6" s="33"/>
      <c r="S6" s="535" t="s">
        <v>410</v>
      </c>
      <c r="T6" s="536"/>
      <c r="U6" s="536"/>
      <c r="V6" s="536"/>
      <c r="W6" s="536"/>
      <c r="X6" s="537"/>
    </row>
    <row r="7" spans="1:27" ht="39.75" customHeight="1" x14ac:dyDescent="0.3">
      <c r="B7" s="549" t="s">
        <v>107</v>
      </c>
      <c r="C7" s="549"/>
      <c r="D7" s="194">
        <v>2</v>
      </c>
      <c r="E7" s="523" t="s">
        <v>273</v>
      </c>
      <c r="F7" s="524"/>
      <c r="G7" s="524"/>
      <c r="H7" s="524"/>
      <c r="I7" s="525"/>
      <c r="J7" s="523" t="str">
        <f>IF('Instream-HabRate'!K27 &lt;&gt;"","Yes","No")</f>
        <v>Yes</v>
      </c>
      <c r="K7" s="525"/>
      <c r="L7" s="533" t="s">
        <v>245</v>
      </c>
      <c r="M7" s="533"/>
      <c r="N7" s="195"/>
      <c r="O7" s="531" t="s">
        <v>108</v>
      </c>
      <c r="P7" s="531"/>
      <c r="S7" s="538"/>
      <c r="T7" s="539"/>
      <c r="U7" s="539"/>
      <c r="V7" s="539"/>
      <c r="W7" s="539"/>
      <c r="X7" s="540"/>
    </row>
    <row r="8" spans="1:27" ht="42" customHeight="1" x14ac:dyDescent="0.3">
      <c r="B8" s="549" t="s">
        <v>110</v>
      </c>
      <c r="C8" s="549"/>
      <c r="D8" s="194">
        <v>2</v>
      </c>
      <c r="E8" s="523" t="s">
        <v>274</v>
      </c>
      <c r="F8" s="524"/>
      <c r="G8" s="524"/>
      <c r="H8" s="524"/>
      <c r="I8" s="525"/>
      <c r="J8" s="523" t="str">
        <f>IF(FuncRip_Score="","No",IF(OR(Entrench_Score&lt;&gt;"",Floodpln_Score&lt;&gt;""),"Yes","No"))</f>
        <v>Yes</v>
      </c>
      <c r="K8" s="525"/>
      <c r="L8" s="534">
        <f>IF(J8="No","", IF(AND(FuncRip_Score="",Floodpln_Score="",Entrench_Score=""),"",AVERAGE(FuncRip_Score,Floodpln_Score,Entrench_Score)))</f>
        <v>0.8666666666666667</v>
      </c>
      <c r="M8" s="534"/>
      <c r="N8" s="196">
        <f>IF(Nearstream_Score="","",IF(Nearstream_Score&lt;0.3,1,IF(Nearstream_Score&lt;0.7,2,3)))</f>
        <v>3</v>
      </c>
      <c r="O8" s="531" t="s">
        <v>122</v>
      </c>
      <c r="P8" s="531"/>
      <c r="Q8" s="36"/>
      <c r="S8" s="538"/>
      <c r="T8" s="539"/>
      <c r="U8" s="539"/>
      <c r="V8" s="539"/>
      <c r="W8" s="539"/>
      <c r="X8" s="540"/>
    </row>
    <row r="9" spans="1:27" ht="54.75" customHeight="1" x14ac:dyDescent="0.3">
      <c r="B9" s="549" t="s">
        <v>109</v>
      </c>
      <c r="C9" s="549"/>
      <c r="D9" s="194">
        <v>1</v>
      </c>
      <c r="E9" s="523" t="s">
        <v>275</v>
      </c>
      <c r="F9" s="524"/>
      <c r="G9" s="524"/>
      <c r="H9" s="524"/>
      <c r="I9" s="525"/>
      <c r="J9" s="523" t="str">
        <f>IF(OR(ProtectRiparian_Score&lt;&gt;"",ProtectContArea_Score&lt;&gt;""),IF(StrmXDen_Score&lt;&gt;"","Yes","No"), "No")</f>
        <v>Yes</v>
      </c>
      <c r="K9" s="525"/>
      <c r="L9" s="534">
        <f>IF(J9="No","",IF(AND(RoadDensity_Score="",PctAgriculture_Score="",DEQ303d_Score=""),"",AVERAGE(MAX(ProtectContArea_Score,ProtectRiparian_Score),StrmXDen_Score,NNSpec_Score,AVERAGE(RoadDensity_Score,PctAgriculture_Score,DEQ303d_Score))))</f>
        <v>0.94166666666666665</v>
      </c>
      <c r="M9" s="534"/>
      <c r="N9" s="196">
        <f>IF(Landscape_Score="","",IF(Landscape_Score&lt;0.3,1,IF(Landscape_Score&lt;0.7,2,3)))</f>
        <v>3</v>
      </c>
      <c r="O9" s="531" t="s">
        <v>121</v>
      </c>
      <c r="P9" s="531"/>
      <c r="Q9" s="60"/>
      <c r="R9" s="36"/>
      <c r="S9" s="541"/>
      <c r="T9" s="542"/>
      <c r="U9" s="542"/>
      <c r="V9" s="542"/>
      <c r="W9" s="542"/>
      <c r="X9" s="543"/>
    </row>
    <row r="10" spans="1:27" s="36" customFormat="1" ht="18.75" customHeight="1" x14ac:dyDescent="0.3">
      <c r="B10" s="64"/>
      <c r="C10" s="64"/>
      <c r="D10" s="65"/>
      <c r="E10" s="56"/>
      <c r="F10" s="56"/>
      <c r="G10" s="56"/>
      <c r="H10" s="56"/>
      <c r="I10" s="56"/>
      <c r="J10" s="56"/>
      <c r="K10" s="56"/>
      <c r="L10" s="56"/>
      <c r="M10" s="56"/>
      <c r="N10" s="56"/>
      <c r="O10" s="56"/>
      <c r="P10" s="56"/>
      <c r="Q10" s="56"/>
      <c r="R10" s="60"/>
      <c r="S10" s="60"/>
      <c r="T10" s="60"/>
      <c r="U10" s="60"/>
      <c r="V10" s="60"/>
      <c r="W10" s="60"/>
      <c r="X10" s="60"/>
    </row>
    <row r="11" spans="1:27" ht="20.100000000000001" customHeight="1" x14ac:dyDescent="0.3">
      <c r="B11" s="528" t="s">
        <v>251</v>
      </c>
      <c r="C11" s="528"/>
      <c r="D11" s="528"/>
      <c r="E11" s="528"/>
      <c r="F11" s="528"/>
      <c r="G11" s="528"/>
      <c r="H11" s="528"/>
      <c r="I11" s="528"/>
      <c r="J11" s="528"/>
      <c r="K11" s="528"/>
      <c r="L11" s="528"/>
      <c r="M11" s="528"/>
      <c r="N11" s="528"/>
      <c r="O11" s="528"/>
      <c r="P11" s="528"/>
      <c r="Q11" s="528"/>
      <c r="R11" s="528"/>
      <c r="S11" s="528"/>
      <c r="T11" s="528"/>
      <c r="U11" s="528"/>
      <c r="V11" s="528"/>
      <c r="W11" s="36"/>
      <c r="X11" s="36"/>
      <c r="Y11" s="36"/>
    </row>
    <row r="12" spans="1:27" s="17" customFormat="1" ht="21" customHeight="1" x14ac:dyDescent="0.3">
      <c r="B12" s="571" t="s">
        <v>111</v>
      </c>
      <c r="C12" s="570" t="s">
        <v>276</v>
      </c>
      <c r="D12" s="567" t="s">
        <v>228</v>
      </c>
      <c r="E12" s="568"/>
      <c r="F12" s="569"/>
      <c r="G12" s="306"/>
      <c r="H12" s="307" t="s">
        <v>14</v>
      </c>
      <c r="I12" s="308"/>
      <c r="J12" s="309"/>
      <c r="K12" s="526" t="s">
        <v>11</v>
      </c>
      <c r="L12" s="526"/>
      <c r="M12" s="526"/>
      <c r="N12" s="526"/>
      <c r="O12" s="526"/>
      <c r="P12" s="527" t="s">
        <v>12</v>
      </c>
      <c r="Q12" s="527"/>
      <c r="R12" s="527"/>
      <c r="S12" s="563" t="s">
        <v>438</v>
      </c>
      <c r="T12" s="564"/>
      <c r="U12" s="564"/>
      <c r="V12" s="565"/>
      <c r="Y12" s="36"/>
      <c r="Z12" s="36"/>
      <c r="AA12" s="36"/>
    </row>
    <row r="13" spans="1:27" ht="64.5" customHeight="1" x14ac:dyDescent="0.3">
      <c r="B13" s="572"/>
      <c r="C13" s="570"/>
      <c r="D13" s="310" t="s">
        <v>14</v>
      </c>
      <c r="E13" s="310" t="s">
        <v>11</v>
      </c>
      <c r="F13" s="310" t="s">
        <v>12</v>
      </c>
      <c r="G13" s="310" t="s">
        <v>438</v>
      </c>
      <c r="H13" s="311" t="s">
        <v>112</v>
      </c>
      <c r="I13" s="311" t="s">
        <v>113</v>
      </c>
      <c r="J13" s="311" t="s">
        <v>114</v>
      </c>
      <c r="K13" s="310" t="s">
        <v>115</v>
      </c>
      <c r="L13" s="310" t="s">
        <v>116</v>
      </c>
      <c r="M13" s="310" t="s">
        <v>166</v>
      </c>
      <c r="N13" s="310" t="s">
        <v>163</v>
      </c>
      <c r="O13" s="310" t="s">
        <v>164</v>
      </c>
      <c r="P13" s="311" t="s">
        <v>118</v>
      </c>
      <c r="Q13" s="311" t="s">
        <v>119</v>
      </c>
      <c r="R13" s="311" t="s">
        <v>120</v>
      </c>
      <c r="S13" s="310" t="s">
        <v>429</v>
      </c>
      <c r="T13" s="310" t="s">
        <v>431</v>
      </c>
      <c r="U13" s="310" t="s">
        <v>437</v>
      </c>
      <c r="V13" s="310" t="s">
        <v>435</v>
      </c>
    </row>
    <row r="14" spans="1:27" ht="15.6" x14ac:dyDescent="0.3">
      <c r="B14" s="312">
        <v>1</v>
      </c>
      <c r="C14" s="313">
        <f>IF('Instream-HabRate'!K27="","",'Instream-HabRate'!K27)</f>
        <v>1115</v>
      </c>
      <c r="D14" s="314" t="str">
        <f>IF('Instream-HabRate'!D27="","",'Instream-HabRate'!D27)</f>
        <v/>
      </c>
      <c r="E14" s="314" t="str">
        <f>IF('Instream-HabRate'!E27="","",'Instream-HabRate'!E27)</f>
        <v>x</v>
      </c>
      <c r="F14" s="314" t="str">
        <f>IF('Instream-HabRate'!F27="","",'Instream-HabRate'!F27)</f>
        <v>x</v>
      </c>
      <c r="G14" s="314" t="str">
        <f>IF('Instream-HabRate'!G27="","",'Instream-HabRate'!G27)</f>
        <v>x</v>
      </c>
      <c r="H14" s="315" t="str">
        <f>IF('Instream-HabRate'!L27="","",IF($D14="","",'Instream-HabRate'!L27))</f>
        <v/>
      </c>
      <c r="I14" s="315" t="str">
        <f>IF('Instream-HabRate'!M27="","",IF($D14="","",'Instream-HabRate'!M27))</f>
        <v/>
      </c>
      <c r="J14" s="315" t="str">
        <f>IF('Instream-HabRate'!N27="","",IF($D14="","",'Instream-HabRate'!N27))</f>
        <v/>
      </c>
      <c r="K14" s="302">
        <f>IF('Instream-HabRate'!O27="","",IF($E14="","",'Instream-HabRate'!O27))</f>
        <v>1</v>
      </c>
      <c r="L14" s="302">
        <f>IF('Instream-HabRate'!P27="","",IF($E14="","",'Instream-HabRate'!P27))</f>
        <v>1</v>
      </c>
      <c r="M14" s="302">
        <f>IF('Instream-HabRate'!Q27="","",IF($E14="","",'Instream-HabRate'!Q27))</f>
        <v>1</v>
      </c>
      <c r="N14" s="302">
        <f>IF('Instream-HabRate'!R27="","",IF($E14="","",'Instream-HabRate'!R27))</f>
        <v>1</v>
      </c>
      <c r="O14" s="302">
        <f>IF('Instream-HabRate'!S27="","",IF($E14="","",'Instream-HabRate'!S27))</f>
        <v>1</v>
      </c>
      <c r="P14" s="315">
        <f>IF('Instream-HabRate'!T27="","",IF($F14="","",'Instream-HabRate'!T27))</f>
        <v>1</v>
      </c>
      <c r="Q14" s="315">
        <f>IF('Instream-HabRate'!U27="","",IF($F14="","",'Instream-HabRate'!U27))</f>
        <v>1</v>
      </c>
      <c r="R14" s="315">
        <f>IF('Instream-HabRate'!V27="","",IF($F14="","",'Instream-HabRate'!V27))</f>
        <v>1</v>
      </c>
      <c r="S14" s="302">
        <f>IF('Instream-HabRate'!W27="","",IF($G14="","",'Instream-HabRate'!W27))</f>
        <v>1</v>
      </c>
      <c r="T14" s="302">
        <f>IF('Instream-HabRate'!X27="","",IF($G14="","",'Instream-HabRate'!X27))</f>
        <v>1</v>
      </c>
      <c r="U14" s="302">
        <f>IF('Instream-HabRate'!Y27="","",IF($G14="","",'Instream-HabRate'!Y27))</f>
        <v>1</v>
      </c>
      <c r="V14" s="302">
        <f>IF('Instream-HabRate'!Z27="","",IF($G14="","",'Instream-HabRate'!Z27))</f>
        <v>2</v>
      </c>
    </row>
    <row r="15" spans="1:27" ht="15.6" x14ac:dyDescent="0.3">
      <c r="B15" s="312">
        <v>2</v>
      </c>
      <c r="C15" s="313" t="str">
        <f>IF('Instream-HabRate'!K28="","",'Instream-HabRate'!K28)</f>
        <v/>
      </c>
      <c r="D15" s="314" t="str">
        <f>IF('Instream-HabRate'!D28="","",'Instream-HabRate'!D28)</f>
        <v/>
      </c>
      <c r="E15" s="314" t="str">
        <f>IF('Instream-HabRate'!E28="","",'Instream-HabRate'!E28)</f>
        <v/>
      </c>
      <c r="F15" s="314" t="str">
        <f>IF('Instream-HabRate'!F28="","",'Instream-HabRate'!F28)</f>
        <v/>
      </c>
      <c r="G15" s="314" t="str">
        <f>IF('Instream-HabRate'!G28="","",'Instream-HabRate'!G28)</f>
        <v/>
      </c>
      <c r="H15" s="315" t="str">
        <f>IF('Instream-HabRate'!L28="","",IF($D15="","",'Instream-HabRate'!L28))</f>
        <v/>
      </c>
      <c r="I15" s="315" t="str">
        <f>IF('Instream-HabRate'!M28="","",IF($D15="","",'Instream-HabRate'!M28))</f>
        <v/>
      </c>
      <c r="J15" s="315" t="str">
        <f>IF('Instream-HabRate'!N28="","",IF($D15="","",'Instream-HabRate'!N28))</f>
        <v/>
      </c>
      <c r="K15" s="302" t="str">
        <f>IF('Instream-HabRate'!O28="","",IF($E15="","",'Instream-HabRate'!O28))</f>
        <v/>
      </c>
      <c r="L15" s="302" t="str">
        <f>IF('Instream-HabRate'!P28="","",IF($E15="","",'Instream-HabRate'!P28))</f>
        <v/>
      </c>
      <c r="M15" s="302" t="str">
        <f>IF('Instream-HabRate'!Q28="","",IF($E15="","",'Instream-HabRate'!Q28))</f>
        <v/>
      </c>
      <c r="N15" s="302" t="str">
        <f>IF('Instream-HabRate'!R28="","",IF($E15="","",'Instream-HabRate'!R28))</f>
        <v/>
      </c>
      <c r="O15" s="302" t="str">
        <f>IF('Instream-HabRate'!S28="","",IF($E15="","",'Instream-HabRate'!S28))</f>
        <v/>
      </c>
      <c r="P15" s="315" t="str">
        <f>IF('Instream-HabRate'!T28="","",IF($F15="","",'Instream-HabRate'!T28))</f>
        <v/>
      </c>
      <c r="Q15" s="315" t="str">
        <f>IF('Instream-HabRate'!U28="","",IF($F15="","",'Instream-HabRate'!U28))</f>
        <v/>
      </c>
      <c r="R15" s="315" t="str">
        <f>IF('Instream-HabRate'!V28="","",IF($F15="","",'Instream-HabRate'!V28))</f>
        <v/>
      </c>
      <c r="S15" s="302" t="str">
        <f>IF('Instream-HabRate'!W28="","",IF($G15="","",'Instream-HabRate'!W28))</f>
        <v/>
      </c>
      <c r="T15" s="302" t="str">
        <f>IF('Instream-HabRate'!X28="","",IF($G15="","",'Instream-HabRate'!X28))</f>
        <v/>
      </c>
      <c r="U15" s="302" t="str">
        <f>IF('Instream-HabRate'!Y28="","",IF($G15="","",'Instream-HabRate'!Y28))</f>
        <v/>
      </c>
      <c r="V15" s="302" t="str">
        <f>IF('Instream-HabRate'!Z28="","",IF($G15="","",'Instream-HabRate'!Z28))</f>
        <v/>
      </c>
    </row>
    <row r="16" spans="1:27" ht="15.6" x14ac:dyDescent="0.3">
      <c r="B16" s="312">
        <v>3</v>
      </c>
      <c r="C16" s="313" t="str">
        <f>IF('Instream-HabRate'!K29="","",'Instream-HabRate'!K29)</f>
        <v/>
      </c>
      <c r="D16" s="314" t="str">
        <f>IF('Instream-HabRate'!D29="","",'Instream-HabRate'!D29)</f>
        <v/>
      </c>
      <c r="E16" s="314" t="str">
        <f>IF('Instream-HabRate'!E29="","",'Instream-HabRate'!E29)</f>
        <v/>
      </c>
      <c r="F16" s="314" t="str">
        <f>IF('Instream-HabRate'!F29="","",'Instream-HabRate'!F29)</f>
        <v/>
      </c>
      <c r="G16" s="314" t="str">
        <f>IF('Instream-HabRate'!G29="","",'Instream-HabRate'!G29)</f>
        <v/>
      </c>
      <c r="H16" s="315" t="str">
        <f>IF('Instream-HabRate'!L29="","",IF($D16="","",'Instream-HabRate'!L29))</f>
        <v/>
      </c>
      <c r="I16" s="315" t="str">
        <f>IF('Instream-HabRate'!M29="","",IF($D16="","",'Instream-HabRate'!M29))</f>
        <v/>
      </c>
      <c r="J16" s="315" t="str">
        <f>IF('Instream-HabRate'!N29="","",IF($D16="","",'Instream-HabRate'!N29))</f>
        <v/>
      </c>
      <c r="K16" s="302" t="str">
        <f>IF('Instream-HabRate'!O29="","",IF($E16="","",'Instream-HabRate'!O29))</f>
        <v/>
      </c>
      <c r="L16" s="302" t="str">
        <f>IF('Instream-HabRate'!P29="","",IF($E16="","",'Instream-HabRate'!P29))</f>
        <v/>
      </c>
      <c r="M16" s="302" t="str">
        <f>IF('Instream-HabRate'!Q29="","",IF($E16="","",'Instream-HabRate'!Q29))</f>
        <v/>
      </c>
      <c r="N16" s="302" t="str">
        <f>IF('Instream-HabRate'!R29="","",IF($E16="","",'Instream-HabRate'!R29))</f>
        <v/>
      </c>
      <c r="O16" s="302" t="str">
        <f>IF('Instream-HabRate'!S29="","",IF($E16="","",'Instream-HabRate'!S29))</f>
        <v/>
      </c>
      <c r="P16" s="315" t="str">
        <f>IF('Instream-HabRate'!T29="","",IF($F16="","",'Instream-HabRate'!T29))</f>
        <v/>
      </c>
      <c r="Q16" s="315" t="str">
        <f>IF('Instream-HabRate'!U29="","",IF($F16="","",'Instream-HabRate'!U29))</f>
        <v/>
      </c>
      <c r="R16" s="315" t="str">
        <f>IF('Instream-HabRate'!V29="","",IF($F16="","",'Instream-HabRate'!V29))</f>
        <v/>
      </c>
      <c r="S16" s="302" t="str">
        <f>IF('Instream-HabRate'!W29="","",IF($G16="","",'Instream-HabRate'!W29))</f>
        <v/>
      </c>
      <c r="T16" s="302" t="str">
        <f>IF('Instream-HabRate'!X29="","",IF($G16="","",'Instream-HabRate'!X29))</f>
        <v/>
      </c>
      <c r="U16" s="302" t="str">
        <f>IF('Instream-HabRate'!Y29="","",IF($G16="","",'Instream-HabRate'!Y29))</f>
        <v/>
      </c>
      <c r="V16" s="302" t="str">
        <f>IF('Instream-HabRate'!Z29="","",IF($G16="","",'Instream-HabRate'!Z29))</f>
        <v/>
      </c>
    </row>
    <row r="17" spans="2:22" ht="15.6" x14ac:dyDescent="0.3">
      <c r="B17" s="312">
        <v>4</v>
      </c>
      <c r="C17" s="313" t="str">
        <f>IF('Instream-HabRate'!K30="","",'Instream-HabRate'!K30)</f>
        <v/>
      </c>
      <c r="D17" s="314" t="str">
        <f>IF('Instream-HabRate'!D30="","",'Instream-HabRate'!D30)</f>
        <v/>
      </c>
      <c r="E17" s="314" t="str">
        <f>IF('Instream-HabRate'!E30="","",'Instream-HabRate'!E30)</f>
        <v/>
      </c>
      <c r="F17" s="314" t="str">
        <f>IF('Instream-HabRate'!F30="","",'Instream-HabRate'!F30)</f>
        <v/>
      </c>
      <c r="G17" s="314" t="str">
        <f>IF('Instream-HabRate'!G30="","",'Instream-HabRate'!G30)</f>
        <v/>
      </c>
      <c r="H17" s="315" t="str">
        <f>IF('Instream-HabRate'!L30="","",IF($D17="","",'Instream-HabRate'!L30))</f>
        <v/>
      </c>
      <c r="I17" s="315" t="str">
        <f>IF('Instream-HabRate'!M30="","",IF($D17="","",'Instream-HabRate'!M30))</f>
        <v/>
      </c>
      <c r="J17" s="315" t="str">
        <f>IF('Instream-HabRate'!N30="","",IF($D17="","",'Instream-HabRate'!N30))</f>
        <v/>
      </c>
      <c r="K17" s="302" t="str">
        <f>IF('Instream-HabRate'!O30="","",IF($E17="","",'Instream-HabRate'!O30))</f>
        <v/>
      </c>
      <c r="L17" s="302" t="str">
        <f>IF('Instream-HabRate'!P30="","",IF($E17="","",'Instream-HabRate'!P30))</f>
        <v/>
      </c>
      <c r="M17" s="302" t="str">
        <f>IF('Instream-HabRate'!Q30="","",IF($E17="","",'Instream-HabRate'!Q30))</f>
        <v/>
      </c>
      <c r="N17" s="302" t="str">
        <f>IF('Instream-HabRate'!R30="","",IF($E17="","",'Instream-HabRate'!R30))</f>
        <v/>
      </c>
      <c r="O17" s="302" t="str">
        <f>IF('Instream-HabRate'!S30="","",IF($E17="","",'Instream-HabRate'!S30))</f>
        <v/>
      </c>
      <c r="P17" s="315" t="str">
        <f>IF('Instream-HabRate'!T30="","",IF($F17="","",'Instream-HabRate'!T30))</f>
        <v/>
      </c>
      <c r="Q17" s="315" t="str">
        <f>IF('Instream-HabRate'!U30="","",IF($F17="","",'Instream-HabRate'!U30))</f>
        <v/>
      </c>
      <c r="R17" s="315" t="str">
        <f>IF('Instream-HabRate'!V30="","",IF($F17="","",'Instream-HabRate'!V30))</f>
        <v/>
      </c>
      <c r="S17" s="302" t="str">
        <f>IF('Instream-HabRate'!W30="","",IF($G17="","",'Instream-HabRate'!W30))</f>
        <v/>
      </c>
      <c r="T17" s="302" t="str">
        <f>IF('Instream-HabRate'!X30="","",IF($G17="","",'Instream-HabRate'!X30))</f>
        <v/>
      </c>
      <c r="U17" s="302" t="str">
        <f>IF('Instream-HabRate'!Y30="","",IF($G17="","",'Instream-HabRate'!Y30))</f>
        <v/>
      </c>
      <c r="V17" s="302" t="str">
        <f>IF('Instream-HabRate'!Z30="","",IF($G17="","",'Instream-HabRate'!Z30))</f>
        <v/>
      </c>
    </row>
    <row r="18" spans="2:22" ht="15.6" x14ac:dyDescent="0.3">
      <c r="B18" s="312">
        <v>5</v>
      </c>
      <c r="C18" s="313" t="str">
        <f>IF('Instream-HabRate'!K31="","",'Instream-HabRate'!K31)</f>
        <v/>
      </c>
      <c r="D18" s="314" t="str">
        <f>IF('Instream-HabRate'!D31="","",'Instream-HabRate'!D31)</f>
        <v/>
      </c>
      <c r="E18" s="314" t="str">
        <f>IF('Instream-HabRate'!E31="","",'Instream-HabRate'!E31)</f>
        <v/>
      </c>
      <c r="F18" s="314" t="str">
        <f>IF('Instream-HabRate'!F31="","",'Instream-HabRate'!F31)</f>
        <v/>
      </c>
      <c r="G18" s="314" t="str">
        <f>IF('Instream-HabRate'!G31="","",'Instream-HabRate'!G31)</f>
        <v/>
      </c>
      <c r="H18" s="315" t="str">
        <f>IF('Instream-HabRate'!L31="","",IF($D18="","",'Instream-HabRate'!L31))</f>
        <v/>
      </c>
      <c r="I18" s="315" t="str">
        <f>IF('Instream-HabRate'!M31="","",IF($D18="","",'Instream-HabRate'!M31))</f>
        <v/>
      </c>
      <c r="J18" s="315" t="str">
        <f>IF('Instream-HabRate'!N31="","",IF($D18="","",'Instream-HabRate'!N31))</f>
        <v/>
      </c>
      <c r="K18" s="302" t="str">
        <f>IF('Instream-HabRate'!O31="","",IF($E18="","",'Instream-HabRate'!O31))</f>
        <v/>
      </c>
      <c r="L18" s="302" t="str">
        <f>IF('Instream-HabRate'!P31="","",IF($E18="","",'Instream-HabRate'!P31))</f>
        <v/>
      </c>
      <c r="M18" s="302" t="str">
        <f>IF('Instream-HabRate'!Q31="","",IF($E18="","",'Instream-HabRate'!Q31))</f>
        <v/>
      </c>
      <c r="N18" s="302" t="str">
        <f>IF('Instream-HabRate'!R31="","",IF($E18="","",'Instream-HabRate'!R31))</f>
        <v/>
      </c>
      <c r="O18" s="302" t="str">
        <f>IF('Instream-HabRate'!S31="","",IF($E18="","",'Instream-HabRate'!S31))</f>
        <v/>
      </c>
      <c r="P18" s="315" t="str">
        <f>IF('Instream-HabRate'!T31="","",IF($F18="","",'Instream-HabRate'!T31))</f>
        <v/>
      </c>
      <c r="Q18" s="315" t="str">
        <f>IF('Instream-HabRate'!U31="","",IF($F18="","",'Instream-HabRate'!U31))</f>
        <v/>
      </c>
      <c r="R18" s="315" t="str">
        <f>IF('Instream-HabRate'!V31="","",IF($F18="","",'Instream-HabRate'!V31))</f>
        <v/>
      </c>
      <c r="S18" s="302" t="str">
        <f>IF('Instream-HabRate'!W31="","",IF($G18="","",'Instream-HabRate'!W31))</f>
        <v/>
      </c>
      <c r="T18" s="302" t="str">
        <f>IF('Instream-HabRate'!X31="","",IF($G18="","",'Instream-HabRate'!X31))</f>
        <v/>
      </c>
      <c r="U18" s="302" t="str">
        <f>IF('Instream-HabRate'!Y31="","",IF($G18="","",'Instream-HabRate'!Y31))</f>
        <v/>
      </c>
      <c r="V18" s="302" t="str">
        <f>IF('Instream-HabRate'!Z31="","",IF($G18="","",'Instream-HabRate'!Z31))</f>
        <v/>
      </c>
    </row>
    <row r="19" spans="2:22" ht="15.6" x14ac:dyDescent="0.3">
      <c r="B19" s="312">
        <v>6</v>
      </c>
      <c r="C19" s="313" t="str">
        <f>IF('Instream-HabRate'!K32="","",'Instream-HabRate'!K32)</f>
        <v/>
      </c>
      <c r="D19" s="314" t="str">
        <f>IF('Instream-HabRate'!D32="","",'Instream-HabRate'!D32)</f>
        <v/>
      </c>
      <c r="E19" s="314" t="str">
        <f>IF('Instream-HabRate'!E32="","",'Instream-HabRate'!E32)</f>
        <v/>
      </c>
      <c r="F19" s="314" t="str">
        <f>IF('Instream-HabRate'!F32="","",'Instream-HabRate'!F32)</f>
        <v/>
      </c>
      <c r="G19" s="314" t="str">
        <f>IF('Instream-HabRate'!G32="","",'Instream-HabRate'!G32)</f>
        <v/>
      </c>
      <c r="H19" s="315" t="str">
        <f>IF('Instream-HabRate'!L32="","",IF($D19="","",'Instream-HabRate'!L32))</f>
        <v/>
      </c>
      <c r="I19" s="315" t="str">
        <f>IF('Instream-HabRate'!M32="","",IF($D19="","",'Instream-HabRate'!M32))</f>
        <v/>
      </c>
      <c r="J19" s="315" t="str">
        <f>IF('Instream-HabRate'!N32="","",IF($D19="","",'Instream-HabRate'!N32))</f>
        <v/>
      </c>
      <c r="K19" s="302" t="str">
        <f>IF('Instream-HabRate'!O32="","",IF($E19="","",'Instream-HabRate'!O32))</f>
        <v/>
      </c>
      <c r="L19" s="302" t="str">
        <f>IF('Instream-HabRate'!P32="","",IF($E19="","",'Instream-HabRate'!P32))</f>
        <v/>
      </c>
      <c r="M19" s="302" t="str">
        <f>IF('Instream-HabRate'!Q32="","",IF($E19="","",'Instream-HabRate'!Q32))</f>
        <v/>
      </c>
      <c r="N19" s="302" t="str">
        <f>IF('Instream-HabRate'!R32="","",IF($E19="","",'Instream-HabRate'!R32))</f>
        <v/>
      </c>
      <c r="O19" s="302" t="str">
        <f>IF('Instream-HabRate'!S32="","",IF($E19="","",'Instream-HabRate'!S32))</f>
        <v/>
      </c>
      <c r="P19" s="315" t="str">
        <f>IF('Instream-HabRate'!T32="","",IF($F19="","",'Instream-HabRate'!T32))</f>
        <v/>
      </c>
      <c r="Q19" s="315" t="str">
        <f>IF('Instream-HabRate'!U32="","",IF($F19="","",'Instream-HabRate'!U32))</f>
        <v/>
      </c>
      <c r="R19" s="315" t="str">
        <f>IF('Instream-HabRate'!V32="","",IF($F19="","",'Instream-HabRate'!V32))</f>
        <v/>
      </c>
      <c r="S19" s="302" t="str">
        <f>IF('Instream-HabRate'!W32="","",IF($G19="","",'Instream-HabRate'!W32))</f>
        <v/>
      </c>
      <c r="T19" s="302" t="str">
        <f>IF('Instream-HabRate'!X32="","",IF($G19="","",'Instream-HabRate'!X32))</f>
        <v/>
      </c>
      <c r="U19" s="302" t="str">
        <f>IF('Instream-HabRate'!Y32="","",IF($G19="","",'Instream-HabRate'!Y32))</f>
        <v/>
      </c>
      <c r="V19" s="302" t="str">
        <f>IF('Instream-HabRate'!Z32="","",IF($G19="","",'Instream-HabRate'!Z32))</f>
        <v/>
      </c>
    </row>
    <row r="20" spans="2:22" x14ac:dyDescent="0.3">
      <c r="N20" s="17"/>
      <c r="P20"/>
      <c r="V20" s="59"/>
    </row>
    <row r="21" spans="2:22" s="74" customFormat="1" x14ac:dyDescent="0.3">
      <c r="M21" s="188"/>
      <c r="N21" s="188"/>
      <c r="O21" s="17"/>
      <c r="P21" s="17"/>
      <c r="Q21" s="17"/>
      <c r="R21" s="17"/>
      <c r="S21" s="17"/>
      <c r="T21" s="17"/>
      <c r="U21" s="17"/>
      <c r="V21" s="75"/>
    </row>
    <row r="22" spans="2:22" s="17" customFormat="1" ht="20.100000000000001" customHeight="1" x14ac:dyDescent="0.3">
      <c r="B22" s="528" t="s">
        <v>400</v>
      </c>
      <c r="C22" s="528"/>
      <c r="D22" s="528"/>
      <c r="E22" s="528"/>
      <c r="F22" s="528"/>
      <c r="G22" s="528"/>
      <c r="H22" s="528"/>
      <c r="I22" s="528"/>
      <c r="J22" s="528"/>
      <c r="K22" s="528"/>
      <c r="L22" s="528"/>
      <c r="M22" s="528"/>
      <c r="N22" s="528"/>
      <c r="O22" s="528"/>
      <c r="P22" s="33"/>
      <c r="Q22" s="33"/>
      <c r="R22" s="33"/>
      <c r="V22" s="59"/>
    </row>
    <row r="23" spans="2:22" ht="36.75" customHeight="1" x14ac:dyDescent="0.3">
      <c r="B23" s="574" t="s">
        <v>187</v>
      </c>
      <c r="C23" s="574"/>
      <c r="D23" s="574"/>
      <c r="E23" s="574"/>
      <c r="F23" s="574"/>
      <c r="G23" s="574"/>
      <c r="H23" s="574"/>
      <c r="I23" s="574"/>
      <c r="J23" s="574"/>
      <c r="K23" s="574"/>
      <c r="L23" s="574"/>
      <c r="M23" s="189"/>
      <c r="N23" s="36"/>
      <c r="O23" s="33"/>
      <c r="P23" s="60"/>
      <c r="Q23" s="36"/>
      <c r="R23" s="33"/>
      <c r="S23" s="17"/>
      <c r="T23" s="17"/>
      <c r="U23" s="17"/>
      <c r="V23" s="59"/>
    </row>
    <row r="24" spans="2:22" s="17" customFormat="1" ht="50.25" customHeight="1" x14ac:dyDescent="0.3">
      <c r="B24" s="316" t="s">
        <v>111</v>
      </c>
      <c r="C24" s="316" t="s">
        <v>263</v>
      </c>
      <c r="D24" s="317" t="s">
        <v>112</v>
      </c>
      <c r="E24" s="317" t="s">
        <v>113</v>
      </c>
      <c r="F24" s="317" t="s">
        <v>114</v>
      </c>
      <c r="G24" s="318" t="s">
        <v>115</v>
      </c>
      <c r="H24" s="318" t="s">
        <v>278</v>
      </c>
      <c r="I24" s="318" t="s">
        <v>279</v>
      </c>
      <c r="J24" s="317" t="s">
        <v>118</v>
      </c>
      <c r="K24" s="317" t="s">
        <v>119</v>
      </c>
      <c r="L24" s="317" t="s">
        <v>120</v>
      </c>
      <c r="M24" s="318" t="s">
        <v>429</v>
      </c>
      <c r="N24" s="318" t="s">
        <v>439</v>
      </c>
      <c r="O24" s="318" t="s">
        <v>433</v>
      </c>
      <c r="P24" s="60"/>
      <c r="Q24" s="73"/>
      <c r="R24" s="33"/>
      <c r="V24" s="59"/>
    </row>
    <row r="25" spans="2:22" ht="15.6" x14ac:dyDescent="0.3">
      <c r="B25" s="316">
        <v>1</v>
      </c>
      <c r="C25" s="316">
        <f>$C14</f>
        <v>1115</v>
      </c>
      <c r="D25" s="319" t="str">
        <f t="shared" ref="D25:G30" si="0">IF(OR(H14="",Nearstream="",Landscape=""),"",((H14*Instream_Weight+Nearstream*Nearstream_Weight+Landscape*Landscape_Weight)/(Instream_Weight+Nearstream_Weight+Landscape_Weight)))</f>
        <v/>
      </c>
      <c r="E25" s="319" t="str">
        <f t="shared" si="0"/>
        <v/>
      </c>
      <c r="F25" s="319" t="str">
        <f t="shared" si="0"/>
        <v/>
      </c>
      <c r="G25" s="316">
        <f t="shared" si="0"/>
        <v>2.2000000000000002</v>
      </c>
      <c r="H25" s="316">
        <f t="shared" ref="H25:I30" si="1">IF(OR(L14="",Nearstream="",Landscape=""),"",((AVERAGE(L14,N14)*Instream_Weight+Nearstream*Nearstream_Weight+Landscape*Landscape_Weight)/(Instream_Weight+Nearstream_Weight+Landscape_Weight)))</f>
        <v>2.2000000000000002</v>
      </c>
      <c r="I25" s="316">
        <f t="shared" si="1"/>
        <v>2.2000000000000002</v>
      </c>
      <c r="J25" s="319">
        <f t="shared" ref="J25:M30" si="2">IF(OR(P14="",Nearstream="",Landscape=""),"",((P14*Instream_Weight+Nearstream*Nearstream_Weight+Landscape*Landscape_Weight)/(Instream_Weight+Nearstream_Weight+Landscape_Weight)))</f>
        <v>2.2000000000000002</v>
      </c>
      <c r="K25" s="319">
        <f t="shared" si="2"/>
        <v>2.2000000000000002</v>
      </c>
      <c r="L25" s="319">
        <f t="shared" si="2"/>
        <v>2.2000000000000002</v>
      </c>
      <c r="M25" s="316">
        <f t="shared" si="2"/>
        <v>2.2000000000000002</v>
      </c>
      <c r="N25" s="316">
        <f t="shared" ref="N25:N30" si="3">IF(OR(T14="",Nearstream="",Landscape=""),"",((AVERAGE(T14,V14)*Instream_Weight+Nearstream*Nearstream_Weight+Landscape*Landscape_Weight)/(Instream_Weight+Nearstream_Weight+Landscape_Weight)))</f>
        <v>2.4</v>
      </c>
      <c r="O25" s="316">
        <f t="shared" ref="O25:O30" si="4">IF(OR(U14="",Nearstream="",Landscape=""),"",(U14*Instream_Weight+Nearstream*Nearstream_Weight+Landscape*Landscape_Weight)/(Instream_Weight+Nearstream_Weight+Landscape_Weight))</f>
        <v>2.2000000000000002</v>
      </c>
      <c r="P25" s="60"/>
      <c r="Q25" s="36"/>
      <c r="R25" s="33"/>
      <c r="S25" s="17"/>
      <c r="T25" s="17"/>
      <c r="U25" s="17"/>
      <c r="V25" s="59"/>
    </row>
    <row r="26" spans="2:22" ht="15.6" x14ac:dyDescent="0.3">
      <c r="B26" s="215">
        <v>2</v>
      </c>
      <c r="C26" s="316" t="str">
        <f t="shared" ref="C26:C30" si="5">$C15</f>
        <v/>
      </c>
      <c r="D26" s="319" t="str">
        <f t="shared" si="0"/>
        <v/>
      </c>
      <c r="E26" s="319" t="str">
        <f t="shared" si="0"/>
        <v/>
      </c>
      <c r="F26" s="319" t="str">
        <f t="shared" si="0"/>
        <v/>
      </c>
      <c r="G26" s="316" t="str">
        <f t="shared" si="0"/>
        <v/>
      </c>
      <c r="H26" s="316" t="str">
        <f t="shared" si="1"/>
        <v/>
      </c>
      <c r="I26" s="316" t="str">
        <f t="shared" si="1"/>
        <v/>
      </c>
      <c r="J26" s="319" t="str">
        <f t="shared" si="2"/>
        <v/>
      </c>
      <c r="K26" s="319" t="str">
        <f t="shared" si="2"/>
        <v/>
      </c>
      <c r="L26" s="319" t="str">
        <f t="shared" si="2"/>
        <v/>
      </c>
      <c r="M26" s="316" t="str">
        <f t="shared" si="2"/>
        <v/>
      </c>
      <c r="N26" s="316" t="str">
        <f t="shared" si="3"/>
        <v/>
      </c>
      <c r="O26" s="316" t="str">
        <f t="shared" si="4"/>
        <v/>
      </c>
      <c r="P26" s="33"/>
      <c r="Q26" s="33"/>
      <c r="R26" s="33"/>
      <c r="S26" s="17"/>
      <c r="T26" s="17"/>
      <c r="U26" s="17"/>
    </row>
    <row r="27" spans="2:22" ht="15.6" x14ac:dyDescent="0.3">
      <c r="B27" s="215">
        <v>3</v>
      </c>
      <c r="C27" s="316" t="str">
        <f t="shared" si="5"/>
        <v/>
      </c>
      <c r="D27" s="319" t="str">
        <f t="shared" si="0"/>
        <v/>
      </c>
      <c r="E27" s="319" t="str">
        <f t="shared" si="0"/>
        <v/>
      </c>
      <c r="F27" s="319" t="str">
        <f t="shared" si="0"/>
        <v/>
      </c>
      <c r="G27" s="316" t="str">
        <f t="shared" si="0"/>
        <v/>
      </c>
      <c r="H27" s="316" t="str">
        <f t="shared" si="1"/>
        <v/>
      </c>
      <c r="I27" s="316" t="str">
        <f t="shared" si="1"/>
        <v/>
      </c>
      <c r="J27" s="319" t="str">
        <f t="shared" si="2"/>
        <v/>
      </c>
      <c r="K27" s="319" t="str">
        <f t="shared" si="2"/>
        <v/>
      </c>
      <c r="L27" s="319" t="str">
        <f t="shared" si="2"/>
        <v/>
      </c>
      <c r="M27" s="316" t="str">
        <f t="shared" si="2"/>
        <v/>
      </c>
      <c r="N27" s="316" t="str">
        <f t="shared" si="3"/>
        <v/>
      </c>
      <c r="O27" s="316" t="str">
        <f t="shared" si="4"/>
        <v/>
      </c>
      <c r="P27" s="33"/>
      <c r="Q27" s="33"/>
      <c r="R27" s="33"/>
      <c r="S27" s="17"/>
      <c r="T27" s="17"/>
      <c r="U27" s="17"/>
    </row>
    <row r="28" spans="2:22" ht="15.6" x14ac:dyDescent="0.3">
      <c r="B28" s="215">
        <v>4</v>
      </c>
      <c r="C28" s="316" t="str">
        <f t="shared" si="5"/>
        <v/>
      </c>
      <c r="D28" s="319" t="str">
        <f t="shared" si="0"/>
        <v/>
      </c>
      <c r="E28" s="319" t="str">
        <f t="shared" si="0"/>
        <v/>
      </c>
      <c r="F28" s="319" t="str">
        <f t="shared" si="0"/>
        <v/>
      </c>
      <c r="G28" s="316" t="str">
        <f t="shared" si="0"/>
        <v/>
      </c>
      <c r="H28" s="316" t="str">
        <f t="shared" si="1"/>
        <v/>
      </c>
      <c r="I28" s="316" t="str">
        <f t="shared" si="1"/>
        <v/>
      </c>
      <c r="J28" s="319" t="str">
        <f t="shared" si="2"/>
        <v/>
      </c>
      <c r="K28" s="319" t="str">
        <f t="shared" si="2"/>
        <v/>
      </c>
      <c r="L28" s="319" t="str">
        <f t="shared" si="2"/>
        <v/>
      </c>
      <c r="M28" s="316" t="str">
        <f t="shared" si="2"/>
        <v/>
      </c>
      <c r="N28" s="316" t="str">
        <f t="shared" si="3"/>
        <v/>
      </c>
      <c r="O28" s="316" t="str">
        <f t="shared" si="4"/>
        <v/>
      </c>
      <c r="Q28" s="17"/>
      <c r="R28" s="17"/>
      <c r="S28" s="17"/>
      <c r="T28" s="17"/>
      <c r="U28" s="17"/>
    </row>
    <row r="29" spans="2:22" ht="15.6" x14ac:dyDescent="0.3">
      <c r="B29" s="215">
        <v>5</v>
      </c>
      <c r="C29" s="316" t="str">
        <f t="shared" si="5"/>
        <v/>
      </c>
      <c r="D29" s="319" t="str">
        <f t="shared" si="0"/>
        <v/>
      </c>
      <c r="E29" s="319" t="str">
        <f t="shared" si="0"/>
        <v/>
      </c>
      <c r="F29" s="319" t="str">
        <f t="shared" si="0"/>
        <v/>
      </c>
      <c r="G29" s="316" t="str">
        <f t="shared" si="0"/>
        <v/>
      </c>
      <c r="H29" s="316" t="str">
        <f t="shared" si="1"/>
        <v/>
      </c>
      <c r="I29" s="316" t="str">
        <f t="shared" si="1"/>
        <v/>
      </c>
      <c r="J29" s="319" t="str">
        <f t="shared" si="2"/>
        <v/>
      </c>
      <c r="K29" s="319" t="str">
        <f t="shared" si="2"/>
        <v/>
      </c>
      <c r="L29" s="319" t="str">
        <f t="shared" si="2"/>
        <v/>
      </c>
      <c r="M29" s="316" t="str">
        <f t="shared" si="2"/>
        <v/>
      </c>
      <c r="N29" s="316" t="str">
        <f t="shared" si="3"/>
        <v/>
      </c>
      <c r="O29" s="316" t="str">
        <f t="shared" si="4"/>
        <v/>
      </c>
      <c r="Q29" s="17"/>
      <c r="R29" s="17"/>
      <c r="S29" s="17"/>
      <c r="T29" s="17"/>
      <c r="U29" s="17"/>
    </row>
    <row r="30" spans="2:22" ht="15.6" x14ac:dyDescent="0.3">
      <c r="B30" s="215">
        <v>6</v>
      </c>
      <c r="C30" s="316" t="str">
        <f t="shared" si="5"/>
        <v/>
      </c>
      <c r="D30" s="319" t="str">
        <f t="shared" si="0"/>
        <v/>
      </c>
      <c r="E30" s="319" t="str">
        <f t="shared" si="0"/>
        <v/>
      </c>
      <c r="F30" s="319" t="str">
        <f t="shared" si="0"/>
        <v/>
      </c>
      <c r="G30" s="316" t="str">
        <f t="shared" si="0"/>
        <v/>
      </c>
      <c r="H30" s="316" t="str">
        <f t="shared" si="1"/>
        <v/>
      </c>
      <c r="I30" s="316" t="str">
        <f t="shared" si="1"/>
        <v/>
      </c>
      <c r="J30" s="319" t="str">
        <f t="shared" si="2"/>
        <v/>
      </c>
      <c r="K30" s="319" t="str">
        <f t="shared" si="2"/>
        <v/>
      </c>
      <c r="L30" s="319" t="str">
        <f t="shared" si="2"/>
        <v/>
      </c>
      <c r="M30" s="316" t="str">
        <f t="shared" si="2"/>
        <v/>
      </c>
      <c r="N30" s="316" t="str">
        <f t="shared" si="3"/>
        <v/>
      </c>
      <c r="O30" s="316" t="str">
        <f t="shared" si="4"/>
        <v/>
      </c>
      <c r="Q30" s="17"/>
      <c r="R30" s="17"/>
      <c r="S30" s="17"/>
      <c r="T30" s="17"/>
      <c r="U30" s="17"/>
    </row>
    <row r="31" spans="2:22" s="17" customFormat="1" ht="21.75" customHeight="1" x14ac:dyDescent="0.3">
      <c r="B31" s="186"/>
      <c r="C31" s="573" t="s">
        <v>280</v>
      </c>
      <c r="D31" s="573"/>
      <c r="E31" s="573"/>
      <c r="F31" s="573"/>
      <c r="G31" s="573"/>
      <c r="H31" s="573"/>
      <c r="I31" s="573"/>
      <c r="J31" s="573"/>
      <c r="K31" s="573"/>
      <c r="L31" s="573"/>
      <c r="M31" s="60"/>
      <c r="N31" s="57"/>
    </row>
    <row r="32" spans="2:22" x14ac:dyDescent="0.3">
      <c r="M32" s="36"/>
      <c r="N32" s="17"/>
      <c r="Q32" s="17"/>
      <c r="R32" s="17"/>
      <c r="S32" s="17"/>
      <c r="T32" s="17"/>
      <c r="U32" s="17"/>
    </row>
    <row r="33" spans="2:22" ht="20.100000000000001" customHeight="1" x14ac:dyDescent="0.3">
      <c r="B33" s="528" t="s">
        <v>165</v>
      </c>
      <c r="C33" s="528"/>
      <c r="D33" s="528"/>
      <c r="E33" s="528"/>
      <c r="F33" s="528"/>
      <c r="G33" s="528"/>
      <c r="H33" s="528"/>
      <c r="I33" s="528"/>
      <c r="J33" s="528"/>
      <c r="K33" s="528"/>
      <c r="L33" s="528"/>
      <c r="M33" s="528"/>
      <c r="N33" s="528"/>
      <c r="O33" s="528"/>
      <c r="Q33" s="17"/>
      <c r="R33" s="17"/>
      <c r="S33" s="17"/>
      <c r="T33" s="17"/>
      <c r="U33" s="17"/>
    </row>
    <row r="34" spans="2:22" ht="24" customHeight="1" x14ac:dyDescent="0.3">
      <c r="B34" s="58" t="s">
        <v>401</v>
      </c>
      <c r="C34" s="58"/>
      <c r="D34" s="17"/>
      <c r="E34" s="17"/>
      <c r="F34" s="17"/>
      <c r="G34" s="17"/>
      <c r="H34" s="17"/>
      <c r="I34" s="17"/>
      <c r="J34" s="17"/>
      <c r="K34" s="17"/>
      <c r="L34" s="17"/>
      <c r="M34" s="36"/>
      <c r="N34" s="17"/>
      <c r="Q34" s="17"/>
      <c r="R34" s="17"/>
      <c r="S34" s="17"/>
      <c r="T34" s="17"/>
      <c r="U34" s="17"/>
      <c r="V34" s="17"/>
    </row>
    <row r="35" spans="2:22" s="17" customFormat="1" ht="49.5" customHeight="1" x14ac:dyDescent="0.3">
      <c r="B35" s="316" t="s">
        <v>111</v>
      </c>
      <c r="C35" s="316" t="s">
        <v>263</v>
      </c>
      <c r="D35" s="317" t="s">
        <v>112</v>
      </c>
      <c r="E35" s="317" t="s">
        <v>113</v>
      </c>
      <c r="F35" s="317" t="s">
        <v>114</v>
      </c>
      <c r="G35" s="318" t="s">
        <v>115</v>
      </c>
      <c r="H35" s="318" t="s">
        <v>116</v>
      </c>
      <c r="I35" s="318" t="s">
        <v>117</v>
      </c>
      <c r="J35" s="317" t="s">
        <v>118</v>
      </c>
      <c r="K35" s="317" t="s">
        <v>119</v>
      </c>
      <c r="L35" s="317" t="s">
        <v>120</v>
      </c>
      <c r="M35" s="310" t="s">
        <v>429</v>
      </c>
      <c r="N35" s="310" t="s">
        <v>431</v>
      </c>
      <c r="O35" s="310" t="s">
        <v>433</v>
      </c>
      <c r="V35"/>
    </row>
    <row r="36" spans="2:22" ht="15.6" customHeight="1" x14ac:dyDescent="0.3">
      <c r="B36" s="316">
        <v>1</v>
      </c>
      <c r="C36" s="320">
        <f t="shared" ref="C36:C41" si="6">$C14</f>
        <v>1115</v>
      </c>
      <c r="D36" s="321" t="str">
        <f t="shared" ref="D36:O41" si="7">IF($C36="","",IF(D25="","",((D25/3)*$C36)))</f>
        <v/>
      </c>
      <c r="E36" s="321" t="str">
        <f t="shared" si="7"/>
        <v/>
      </c>
      <c r="F36" s="321" t="str">
        <f t="shared" si="7"/>
        <v/>
      </c>
      <c r="G36" s="320">
        <f t="shared" si="7"/>
        <v>817.66666666666674</v>
      </c>
      <c r="H36" s="320">
        <f t="shared" si="7"/>
        <v>817.66666666666674</v>
      </c>
      <c r="I36" s="320">
        <f t="shared" si="7"/>
        <v>817.66666666666674</v>
      </c>
      <c r="J36" s="321">
        <f t="shared" si="7"/>
        <v>817.66666666666674</v>
      </c>
      <c r="K36" s="321">
        <f t="shared" si="7"/>
        <v>817.66666666666674</v>
      </c>
      <c r="L36" s="321">
        <f t="shared" si="7"/>
        <v>817.66666666666674</v>
      </c>
      <c r="M36" s="322">
        <f>IF($C36="","",IF(M25="","",((M25/3)*$C36)))</f>
        <v>817.66666666666674</v>
      </c>
      <c r="N36" s="322">
        <f t="shared" ref="N36:O36" si="8">IF($C36="","",IF(N25="","",((N25/3)*$C36)))</f>
        <v>891.99999999999989</v>
      </c>
      <c r="O36" s="322">
        <f t="shared" si="8"/>
        <v>817.66666666666674</v>
      </c>
      <c r="Q36" s="17"/>
      <c r="R36" s="17"/>
      <c r="S36" s="17"/>
      <c r="T36" s="17"/>
      <c r="U36" s="17"/>
    </row>
    <row r="37" spans="2:22" ht="15.6" customHeight="1" x14ac:dyDescent="0.3">
      <c r="B37" s="316">
        <v>2</v>
      </c>
      <c r="C37" s="320" t="str">
        <f t="shared" si="6"/>
        <v/>
      </c>
      <c r="D37" s="321" t="str">
        <f t="shared" si="7"/>
        <v/>
      </c>
      <c r="E37" s="321" t="str">
        <f t="shared" si="7"/>
        <v/>
      </c>
      <c r="F37" s="321" t="str">
        <f t="shared" si="7"/>
        <v/>
      </c>
      <c r="G37" s="320" t="str">
        <f t="shared" si="7"/>
        <v/>
      </c>
      <c r="H37" s="320" t="str">
        <f t="shared" si="7"/>
        <v/>
      </c>
      <c r="I37" s="320" t="str">
        <f t="shared" si="7"/>
        <v/>
      </c>
      <c r="J37" s="321" t="str">
        <f t="shared" si="7"/>
        <v/>
      </c>
      <c r="K37" s="321" t="str">
        <f t="shared" si="7"/>
        <v/>
      </c>
      <c r="L37" s="321" t="str">
        <f t="shared" si="7"/>
        <v/>
      </c>
      <c r="M37" s="322" t="str">
        <f t="shared" si="7"/>
        <v/>
      </c>
      <c r="N37" s="322" t="str">
        <f t="shared" si="7"/>
        <v/>
      </c>
      <c r="O37" s="322" t="str">
        <f t="shared" si="7"/>
        <v/>
      </c>
      <c r="Q37" s="17"/>
      <c r="R37" s="17"/>
      <c r="S37" s="17"/>
      <c r="T37" s="17"/>
      <c r="U37" s="17"/>
    </row>
    <row r="38" spans="2:22" ht="15.6" customHeight="1" x14ac:dyDescent="0.3">
      <c r="B38" s="316">
        <v>3</v>
      </c>
      <c r="C38" s="320" t="str">
        <f t="shared" si="6"/>
        <v/>
      </c>
      <c r="D38" s="321" t="str">
        <f t="shared" si="7"/>
        <v/>
      </c>
      <c r="E38" s="321" t="str">
        <f t="shared" si="7"/>
        <v/>
      </c>
      <c r="F38" s="321" t="str">
        <f t="shared" si="7"/>
        <v/>
      </c>
      <c r="G38" s="320" t="str">
        <f t="shared" si="7"/>
        <v/>
      </c>
      <c r="H38" s="320" t="str">
        <f t="shared" si="7"/>
        <v/>
      </c>
      <c r="I38" s="320" t="str">
        <f t="shared" si="7"/>
        <v/>
      </c>
      <c r="J38" s="321" t="str">
        <f t="shared" si="7"/>
        <v/>
      </c>
      <c r="K38" s="321" t="str">
        <f t="shared" si="7"/>
        <v/>
      </c>
      <c r="L38" s="321" t="str">
        <f t="shared" si="7"/>
        <v/>
      </c>
      <c r="M38" s="322" t="str">
        <f t="shared" si="7"/>
        <v/>
      </c>
      <c r="N38" s="322" t="str">
        <f t="shared" si="7"/>
        <v/>
      </c>
      <c r="O38" s="322" t="str">
        <f t="shared" si="7"/>
        <v/>
      </c>
      <c r="Q38" s="17"/>
      <c r="R38" s="17"/>
      <c r="S38" s="17"/>
      <c r="T38" s="17"/>
      <c r="U38" s="17"/>
    </row>
    <row r="39" spans="2:22" ht="15.6" customHeight="1" x14ac:dyDescent="0.3">
      <c r="B39" s="316">
        <v>4</v>
      </c>
      <c r="C39" s="320" t="str">
        <f t="shared" si="6"/>
        <v/>
      </c>
      <c r="D39" s="321" t="str">
        <f t="shared" si="7"/>
        <v/>
      </c>
      <c r="E39" s="321" t="str">
        <f t="shared" si="7"/>
        <v/>
      </c>
      <c r="F39" s="321" t="str">
        <f t="shared" si="7"/>
        <v/>
      </c>
      <c r="G39" s="320" t="str">
        <f t="shared" si="7"/>
        <v/>
      </c>
      <c r="H39" s="320" t="str">
        <f t="shared" si="7"/>
        <v/>
      </c>
      <c r="I39" s="320" t="str">
        <f t="shared" si="7"/>
        <v/>
      </c>
      <c r="J39" s="321" t="str">
        <f t="shared" si="7"/>
        <v/>
      </c>
      <c r="K39" s="321" t="str">
        <f t="shared" si="7"/>
        <v/>
      </c>
      <c r="L39" s="321" t="str">
        <f t="shared" si="7"/>
        <v/>
      </c>
      <c r="M39" s="322" t="str">
        <f t="shared" si="7"/>
        <v/>
      </c>
      <c r="N39" s="322" t="str">
        <f t="shared" si="7"/>
        <v/>
      </c>
      <c r="O39" s="322" t="str">
        <f t="shared" si="7"/>
        <v/>
      </c>
      <c r="Q39" s="17"/>
      <c r="R39" s="17"/>
      <c r="S39" s="17"/>
      <c r="T39" s="17"/>
      <c r="U39" s="17"/>
    </row>
    <row r="40" spans="2:22" ht="15.6" customHeight="1" x14ac:dyDescent="0.3">
      <c r="B40" s="316">
        <v>5</v>
      </c>
      <c r="C40" s="320" t="str">
        <f t="shared" si="6"/>
        <v/>
      </c>
      <c r="D40" s="321" t="str">
        <f t="shared" si="7"/>
        <v/>
      </c>
      <c r="E40" s="321" t="str">
        <f t="shared" si="7"/>
        <v/>
      </c>
      <c r="F40" s="321" t="str">
        <f t="shared" si="7"/>
        <v/>
      </c>
      <c r="G40" s="320" t="str">
        <f t="shared" si="7"/>
        <v/>
      </c>
      <c r="H40" s="320" t="str">
        <f t="shared" si="7"/>
        <v/>
      </c>
      <c r="I40" s="320" t="str">
        <f t="shared" si="7"/>
        <v/>
      </c>
      <c r="J40" s="321" t="str">
        <f t="shared" si="7"/>
        <v/>
      </c>
      <c r="K40" s="321" t="str">
        <f t="shared" si="7"/>
        <v/>
      </c>
      <c r="L40" s="321" t="str">
        <f t="shared" si="7"/>
        <v/>
      </c>
      <c r="M40" s="322" t="str">
        <f t="shared" si="7"/>
        <v/>
      </c>
      <c r="N40" s="322" t="str">
        <f t="shared" si="7"/>
        <v/>
      </c>
      <c r="O40" s="322" t="str">
        <f t="shared" si="7"/>
        <v/>
      </c>
      <c r="Q40" s="17"/>
      <c r="R40" s="17"/>
      <c r="S40" s="17"/>
      <c r="T40" s="17"/>
      <c r="U40" s="17"/>
    </row>
    <row r="41" spans="2:22" ht="15.6" customHeight="1" x14ac:dyDescent="0.3">
      <c r="B41" s="316">
        <v>6</v>
      </c>
      <c r="C41" s="320" t="str">
        <f t="shared" si="6"/>
        <v/>
      </c>
      <c r="D41" s="321" t="str">
        <f t="shared" si="7"/>
        <v/>
      </c>
      <c r="E41" s="321" t="str">
        <f t="shared" si="7"/>
        <v/>
      </c>
      <c r="F41" s="321" t="str">
        <f t="shared" si="7"/>
        <v/>
      </c>
      <c r="G41" s="320" t="str">
        <f t="shared" si="7"/>
        <v/>
      </c>
      <c r="H41" s="320" t="str">
        <f t="shared" si="7"/>
        <v/>
      </c>
      <c r="I41" s="320" t="str">
        <f t="shared" si="7"/>
        <v/>
      </c>
      <c r="J41" s="321" t="str">
        <f t="shared" si="7"/>
        <v/>
      </c>
      <c r="K41" s="321" t="str">
        <f t="shared" si="7"/>
        <v/>
      </c>
      <c r="L41" s="321" t="str">
        <f t="shared" si="7"/>
        <v/>
      </c>
      <c r="M41" s="322" t="str">
        <f t="shared" si="7"/>
        <v/>
      </c>
      <c r="N41" s="322" t="str">
        <f t="shared" si="7"/>
        <v/>
      </c>
      <c r="O41" s="322" t="str">
        <f t="shared" si="7"/>
        <v/>
      </c>
      <c r="Q41" s="17"/>
      <c r="R41" s="17"/>
      <c r="S41" s="17"/>
      <c r="T41" s="17"/>
      <c r="U41" s="17"/>
    </row>
    <row r="42" spans="2:22" ht="17.399999999999999" customHeight="1" x14ac:dyDescent="0.3">
      <c r="B42" s="558" t="s">
        <v>277</v>
      </c>
      <c r="C42" s="559"/>
      <c r="D42" s="323">
        <f>SUM(D36:D41)</f>
        <v>0</v>
      </c>
      <c r="E42" s="323">
        <f t="shared" ref="E42:L42" si="9">SUM(E36:E41)</f>
        <v>0</v>
      </c>
      <c r="F42" s="323">
        <f t="shared" si="9"/>
        <v>0</v>
      </c>
      <c r="G42" s="324">
        <f t="shared" si="9"/>
        <v>817.66666666666674</v>
      </c>
      <c r="H42" s="324">
        <f t="shared" si="9"/>
        <v>817.66666666666674</v>
      </c>
      <c r="I42" s="324">
        <f t="shared" si="9"/>
        <v>817.66666666666674</v>
      </c>
      <c r="J42" s="323">
        <f t="shared" si="9"/>
        <v>817.66666666666674</v>
      </c>
      <c r="K42" s="323">
        <f t="shared" si="9"/>
        <v>817.66666666666674</v>
      </c>
      <c r="L42" s="323">
        <f t="shared" si="9"/>
        <v>817.66666666666674</v>
      </c>
      <c r="M42" s="325">
        <f>SUM(M36:M41)</f>
        <v>817.66666666666674</v>
      </c>
      <c r="N42" s="325">
        <f t="shared" ref="N42:O42" si="10">SUM(N36:N41)</f>
        <v>891.99999999999989</v>
      </c>
      <c r="O42" s="325">
        <f t="shared" si="10"/>
        <v>817.66666666666674</v>
      </c>
      <c r="Q42" s="17"/>
      <c r="R42" s="17"/>
      <c r="S42" s="17"/>
      <c r="T42" s="17"/>
      <c r="U42" s="17"/>
    </row>
    <row r="43" spans="2:22" ht="15.6" customHeight="1" x14ac:dyDescent="0.3">
      <c r="B43" s="556" t="s">
        <v>188</v>
      </c>
      <c r="C43" s="557"/>
      <c r="D43" s="326">
        <f>IF(D42="","",D42*0.000247105)</f>
        <v>0</v>
      </c>
      <c r="E43" s="326">
        <f t="shared" ref="E43:O43" si="11">IF(E42="","",E42*0.000247105)</f>
        <v>0</v>
      </c>
      <c r="F43" s="326">
        <f t="shared" si="11"/>
        <v>0</v>
      </c>
      <c r="G43" s="327">
        <f t="shared" si="11"/>
        <v>0.2020495216666667</v>
      </c>
      <c r="H43" s="327">
        <f t="shared" si="11"/>
        <v>0.2020495216666667</v>
      </c>
      <c r="I43" s="327">
        <f t="shared" si="11"/>
        <v>0.2020495216666667</v>
      </c>
      <c r="J43" s="326">
        <f t="shared" si="11"/>
        <v>0.2020495216666667</v>
      </c>
      <c r="K43" s="326">
        <f t="shared" si="11"/>
        <v>0.2020495216666667</v>
      </c>
      <c r="L43" s="326">
        <f t="shared" si="11"/>
        <v>0.2020495216666667</v>
      </c>
      <c r="M43" s="328">
        <f t="shared" si="11"/>
        <v>0.2020495216666667</v>
      </c>
      <c r="N43" s="328">
        <f t="shared" si="11"/>
        <v>0.22041765999999999</v>
      </c>
      <c r="O43" s="328">
        <f t="shared" si="11"/>
        <v>0.2020495216666667</v>
      </c>
      <c r="Q43" s="17"/>
      <c r="R43" s="17"/>
      <c r="S43" s="17"/>
      <c r="T43" s="17"/>
      <c r="U43" s="17"/>
    </row>
    <row r="44" spans="2:22" x14ac:dyDescent="0.3">
      <c r="Q44" s="17"/>
      <c r="R44" s="17"/>
      <c r="S44" s="17"/>
      <c r="T44" s="17"/>
      <c r="U44" s="17"/>
    </row>
    <row r="45" spans="2:22" x14ac:dyDescent="0.3">
      <c r="B45" s="1"/>
      <c r="C45" s="87"/>
      <c r="D45" s="72"/>
      <c r="E45" s="72"/>
      <c r="F45" s="72"/>
      <c r="G45" s="17"/>
      <c r="Q45" s="17"/>
      <c r="R45" s="17"/>
      <c r="S45" s="17"/>
      <c r="T45" s="17"/>
      <c r="U45" s="17"/>
    </row>
    <row r="46" spans="2:22" ht="20.100000000000001" customHeight="1" x14ac:dyDescent="0.3">
      <c r="B46" s="566" t="s">
        <v>304</v>
      </c>
      <c r="C46" s="566"/>
      <c r="D46" s="566"/>
      <c r="E46" s="566"/>
      <c r="F46" s="566"/>
      <c r="G46" s="566"/>
      <c r="H46" s="566"/>
      <c r="J46" s="575" t="s">
        <v>186</v>
      </c>
      <c r="K46" s="575"/>
      <c r="L46" s="575"/>
      <c r="M46" s="575"/>
      <c r="N46" s="575"/>
      <c r="O46" s="575"/>
      <c r="Q46" s="17"/>
      <c r="R46" s="17"/>
      <c r="S46" s="17"/>
      <c r="T46" s="17"/>
      <c r="U46" s="17"/>
    </row>
    <row r="47" spans="2:22" ht="72" customHeight="1" x14ac:dyDescent="0.3">
      <c r="B47" s="281"/>
      <c r="C47" s="218"/>
      <c r="D47" s="218"/>
      <c r="E47" s="329" t="s">
        <v>14</v>
      </c>
      <c r="F47" s="330" t="s">
        <v>11</v>
      </c>
      <c r="G47" s="329" t="s">
        <v>12</v>
      </c>
      <c r="H47" s="331" t="s">
        <v>438</v>
      </c>
      <c r="J47" s="549" t="s">
        <v>398</v>
      </c>
      <c r="K47" s="549"/>
      <c r="L47" s="549"/>
      <c r="M47" s="549"/>
      <c r="N47" s="549"/>
      <c r="O47" s="184" t="s">
        <v>287</v>
      </c>
      <c r="Q47" s="17"/>
      <c r="R47" s="17"/>
      <c r="S47" s="17"/>
      <c r="T47" s="17"/>
      <c r="U47" s="17"/>
    </row>
    <row r="48" spans="2:22" ht="23.25" customHeight="1" x14ac:dyDescent="0.3">
      <c r="B48" s="553" t="s">
        <v>269</v>
      </c>
      <c r="C48" s="554"/>
      <c r="D48" s="555"/>
      <c r="E48" s="216">
        <f>IF(AND(D43="", E43="",F43=""),"",MAX($D$43:$F$43))</f>
        <v>0</v>
      </c>
      <c r="F48" s="217">
        <f>IF(AND(G43="",H43="",I43=""),"",MAX($G$43:$I$43))</f>
        <v>0.2020495216666667</v>
      </c>
      <c r="G48" s="216">
        <f>IF(AND(J43="",K43="",L43=""),"",MAX($J$43:$L$43))</f>
        <v>0.2020495216666667</v>
      </c>
      <c r="H48" s="299">
        <f>F48</f>
        <v>0.2020495216666667</v>
      </c>
      <c r="J48" s="576" t="str">
        <f>IF(Passage_Status = "","",Passage_Status)</f>
        <v>Partially Blocked: Adult &amp; Juv.</v>
      </c>
      <c r="K48" s="576"/>
      <c r="L48" s="576"/>
      <c r="M48" s="576"/>
      <c r="N48" s="576"/>
      <c r="O48" s="187">
        <f>IF(Passage_Status="","",VLOOKUP(J48,'Dropdown lists'!$F$16:$G$19,2,FALSE))</f>
        <v>0.8</v>
      </c>
      <c r="Q48" s="17"/>
      <c r="R48" s="17"/>
      <c r="S48" s="17"/>
      <c r="T48" s="17"/>
      <c r="U48" s="17"/>
    </row>
    <row r="49" spans="2:21" ht="21.75" customHeight="1" x14ac:dyDescent="0.3">
      <c r="B49" s="553" t="s">
        <v>270</v>
      </c>
      <c r="C49" s="554"/>
      <c r="D49" s="555"/>
      <c r="E49" s="216">
        <f>IF(AND(D43="", E43="",F43=""),"",MIN($D$43:$F$43))</f>
        <v>0</v>
      </c>
      <c r="F49" s="217">
        <f>IF(AND(G43="",H43="",I43=""),"",MIN($G$43:$I$43))</f>
        <v>0.2020495216666667</v>
      </c>
      <c r="G49" s="216">
        <f>IF(AND(J43="",K43="",L43=""),"",MIN($J$43:$L$43))</f>
        <v>0.2020495216666667</v>
      </c>
      <c r="H49" s="299">
        <f>F49</f>
        <v>0.2020495216666667</v>
      </c>
      <c r="J49" s="577" t="s">
        <v>289</v>
      </c>
      <c r="K49" s="577"/>
      <c r="L49" s="577"/>
      <c r="M49" s="577"/>
      <c r="N49" s="577"/>
      <c r="O49" s="577"/>
      <c r="Q49" s="17"/>
      <c r="R49" s="17"/>
      <c r="S49" s="17"/>
      <c r="T49" s="17"/>
      <c r="U49" s="17"/>
    </row>
    <row r="50" spans="2:21" s="17" customFormat="1" ht="15.6" x14ac:dyDescent="0.3">
      <c r="B50" s="113"/>
      <c r="C50" s="113"/>
      <c r="D50" s="113"/>
      <c r="E50" s="185"/>
      <c r="F50" s="185"/>
      <c r="G50" s="185"/>
      <c r="J50" s="578"/>
      <c r="K50" s="578"/>
      <c r="L50" s="578"/>
      <c r="M50" s="578"/>
      <c r="N50" s="578"/>
      <c r="O50" s="578"/>
    </row>
    <row r="51" spans="2:21" x14ac:dyDescent="0.3">
      <c r="B51" s="17"/>
      <c r="D51" s="72"/>
      <c r="E51" s="72"/>
      <c r="F51" s="72"/>
      <c r="G51" s="17"/>
      <c r="I51" s="36"/>
      <c r="J51" s="578"/>
      <c r="K51" s="578"/>
      <c r="L51" s="578"/>
      <c r="M51" s="578"/>
      <c r="N51" s="578"/>
      <c r="O51" s="578"/>
      <c r="Q51" s="17"/>
      <c r="R51" s="17"/>
      <c r="S51" s="17"/>
      <c r="T51" s="17"/>
      <c r="U51" s="17"/>
    </row>
    <row r="52" spans="2:21" ht="20.100000000000001" customHeight="1" x14ac:dyDescent="0.3">
      <c r="B52" s="566" t="s">
        <v>302</v>
      </c>
      <c r="C52" s="566"/>
      <c r="D52" s="566"/>
      <c r="E52" s="566"/>
      <c r="F52" s="566"/>
      <c r="G52" s="566"/>
      <c r="H52" s="566"/>
    </row>
    <row r="53" spans="2:21" ht="64.5" customHeight="1" x14ac:dyDescent="0.3">
      <c r="B53" s="560"/>
      <c r="C53" s="561"/>
      <c r="D53" s="562"/>
      <c r="E53" s="329" t="s">
        <v>14</v>
      </c>
      <c r="F53" s="330" t="s">
        <v>11</v>
      </c>
      <c r="G53" s="329" t="s">
        <v>12</v>
      </c>
      <c r="H53" s="331" t="s">
        <v>438</v>
      </c>
      <c r="I53" s="112"/>
      <c r="J53" s="112"/>
      <c r="K53" s="112"/>
    </row>
    <row r="54" spans="2:21" ht="21.75" customHeight="1" x14ac:dyDescent="0.3">
      <c r="B54" s="553" t="s">
        <v>272</v>
      </c>
      <c r="C54" s="554"/>
      <c r="D54" s="555"/>
      <c r="E54" s="216">
        <f>IF(E48="","",IF(E48=0,0,E48*$O$48))</f>
        <v>0</v>
      </c>
      <c r="F54" s="301">
        <f t="shared" ref="F54:G55" si="12">IF(F48="","",IF(F48=0,0,F48*$O$48))</f>
        <v>0.16163961733333337</v>
      </c>
      <c r="G54" s="216">
        <f t="shared" si="12"/>
        <v>0.16163961733333337</v>
      </c>
      <c r="H54" s="343">
        <f>F54</f>
        <v>0.16163961733333337</v>
      </c>
    </row>
    <row r="55" spans="2:21" ht="24" customHeight="1" x14ac:dyDescent="0.3">
      <c r="B55" s="553" t="s">
        <v>271</v>
      </c>
      <c r="C55" s="554"/>
      <c r="D55" s="555"/>
      <c r="E55" s="216">
        <f>IF(E49="","",IF(E49=0,0,E49*$O$48))</f>
        <v>0</v>
      </c>
      <c r="F55" s="301">
        <f t="shared" si="12"/>
        <v>0.16163961733333337</v>
      </c>
      <c r="G55" s="216">
        <f t="shared" si="12"/>
        <v>0.16163961733333337</v>
      </c>
      <c r="H55" s="343">
        <f>F55</f>
        <v>0.16163961733333337</v>
      </c>
    </row>
    <row r="56" spans="2:21" x14ac:dyDescent="0.3">
      <c r="H56" s="59"/>
    </row>
  </sheetData>
  <mergeCells count="49">
    <mergeCell ref="S12:V12"/>
    <mergeCell ref="B52:H52"/>
    <mergeCell ref="B46:H46"/>
    <mergeCell ref="B33:O33"/>
    <mergeCell ref="B22:O22"/>
    <mergeCell ref="D12:F12"/>
    <mergeCell ref="C12:C13"/>
    <mergeCell ref="B12:B13"/>
    <mergeCell ref="C31:L31"/>
    <mergeCell ref="B23:L23"/>
    <mergeCell ref="J46:O46"/>
    <mergeCell ref="J47:N47"/>
    <mergeCell ref="J48:N48"/>
    <mergeCell ref="J49:O51"/>
    <mergeCell ref="B8:C8"/>
    <mergeCell ref="B54:D54"/>
    <mergeCell ref="B55:D55"/>
    <mergeCell ref="B43:C43"/>
    <mergeCell ref="B42:C42"/>
    <mergeCell ref="B48:D48"/>
    <mergeCell ref="B49:D49"/>
    <mergeCell ref="B53:D53"/>
    <mergeCell ref="O9:P9"/>
    <mergeCell ref="L9:M9"/>
    <mergeCell ref="J9:K9"/>
    <mergeCell ref="E9:I9"/>
    <mergeCell ref="B9:C9"/>
    <mergeCell ref="B6:C6"/>
    <mergeCell ref="B7:C7"/>
    <mergeCell ref="J6:K6"/>
    <mergeCell ref="J7:K7"/>
    <mergeCell ref="E6:I6"/>
    <mergeCell ref="E7:I7"/>
    <mergeCell ref="E8:I8"/>
    <mergeCell ref="K12:O12"/>
    <mergeCell ref="P12:R12"/>
    <mergeCell ref="B11:V11"/>
    <mergeCell ref="K2:L2"/>
    <mergeCell ref="O6:P6"/>
    <mergeCell ref="O7:P7"/>
    <mergeCell ref="O8:P8"/>
    <mergeCell ref="J8:K8"/>
    <mergeCell ref="L6:M6"/>
    <mergeCell ref="L7:M7"/>
    <mergeCell ref="L8:M8"/>
    <mergeCell ref="S6:X9"/>
    <mergeCell ref="B3:H3"/>
    <mergeCell ref="B5:P5"/>
    <mergeCell ref="J3:P3"/>
  </mergeCells>
  <printOptions horizontalCentered="1"/>
  <pageMargins left="0.25" right="0.25" top="0.75" bottom="0.75" header="0.3" footer="0.3"/>
  <pageSetup scale="56" fitToHeight="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zoomScale="75" zoomScaleNormal="75" workbookViewId="0">
      <selection activeCell="B2" sqref="B2"/>
    </sheetView>
  </sheetViews>
  <sheetFormatPr defaultRowHeight="14.4" x14ac:dyDescent="0.3"/>
  <cols>
    <col min="1" max="1" width="4.6640625" style="17" customWidth="1"/>
    <col min="2" max="2" width="5.5546875" customWidth="1"/>
    <col min="3" max="3" width="8.109375" customWidth="1"/>
    <col min="4" max="4" width="8" customWidth="1"/>
    <col min="5" max="5" width="8.44140625" customWidth="1"/>
    <col min="6" max="6" width="66.5546875" customWidth="1"/>
    <col min="8" max="8" width="18.33203125" customWidth="1"/>
    <col min="9" max="9" width="53.88671875" customWidth="1"/>
  </cols>
  <sheetData>
    <row r="1" spans="2:16" s="18" customFormat="1" ht="30" customHeight="1" x14ac:dyDescent="0.3">
      <c r="B1" s="182" t="str">
        <f>CONCATENATE('Cover Page'!B1:L1," ", 'Cover Page'!B2:L2," - WEBSITE and REFERENCES")</f>
        <v>FISH PASSAGE CREDIT CALCULATOR Version 1.1 - WEBSITE and REFERENCES</v>
      </c>
      <c r="C1" s="66"/>
      <c r="D1" s="66"/>
      <c r="E1" s="66"/>
      <c r="F1" s="61"/>
      <c r="G1" s="61"/>
      <c r="H1" s="61"/>
      <c r="P1" s="197"/>
    </row>
    <row r="2" spans="2:16" s="17" customFormat="1" ht="21" x14ac:dyDescent="0.4">
      <c r="B2" s="78"/>
      <c r="H2" s="26" t="s">
        <v>230</v>
      </c>
      <c r="I2"/>
    </row>
    <row r="3" spans="2:16" s="17" customFormat="1" x14ac:dyDescent="0.3">
      <c r="B3" s="26" t="s">
        <v>378</v>
      </c>
      <c r="H3" s="89" t="s">
        <v>231</v>
      </c>
      <c r="I3" s="91" t="s">
        <v>3</v>
      </c>
    </row>
    <row r="4" spans="2:16" s="17" customFormat="1" ht="28.8" x14ac:dyDescent="0.4">
      <c r="B4" s="78"/>
      <c r="C4" s="5" t="s">
        <v>380</v>
      </c>
      <c r="H4" s="92" t="s">
        <v>68</v>
      </c>
      <c r="I4" s="93" t="s">
        <v>383</v>
      </c>
    </row>
    <row r="5" spans="2:16" s="17" customFormat="1" ht="28.8" x14ac:dyDescent="0.4">
      <c r="B5" s="78"/>
      <c r="C5" s="5" t="s">
        <v>381</v>
      </c>
      <c r="H5" s="92" t="s">
        <v>78</v>
      </c>
      <c r="I5" s="93" t="s">
        <v>382</v>
      </c>
    </row>
    <row r="6" spans="2:16" s="17" customFormat="1" x14ac:dyDescent="0.3">
      <c r="H6" s="92" t="s">
        <v>77</v>
      </c>
      <c r="I6" s="93" t="s">
        <v>232</v>
      </c>
    </row>
    <row r="7" spans="2:16" ht="28.8" x14ac:dyDescent="0.3">
      <c r="B7" s="4" t="s">
        <v>24</v>
      </c>
      <c r="H7" s="92" t="s">
        <v>70</v>
      </c>
      <c r="I7" s="93" t="s">
        <v>384</v>
      </c>
    </row>
    <row r="8" spans="2:16" x14ac:dyDescent="0.3">
      <c r="C8" s="5" t="s">
        <v>83</v>
      </c>
      <c r="H8" s="92" t="s">
        <v>71</v>
      </c>
      <c r="I8" s="93" t="s">
        <v>385</v>
      </c>
    </row>
    <row r="9" spans="2:16" ht="29.25" customHeight="1" x14ac:dyDescent="0.3">
      <c r="C9" s="5" t="s">
        <v>255</v>
      </c>
      <c r="H9" s="92" t="s">
        <v>81</v>
      </c>
      <c r="I9" s="93" t="s">
        <v>386</v>
      </c>
    </row>
    <row r="10" spans="2:16" s="17" customFormat="1" ht="28.8" x14ac:dyDescent="0.3">
      <c r="H10" s="92" t="s">
        <v>388</v>
      </c>
      <c r="I10" s="93" t="s">
        <v>387</v>
      </c>
    </row>
    <row r="11" spans="2:16" x14ac:dyDescent="0.3">
      <c r="B11" s="4" t="s">
        <v>53</v>
      </c>
      <c r="H11" s="92" t="s">
        <v>69</v>
      </c>
      <c r="I11" s="93" t="s">
        <v>389</v>
      </c>
    </row>
    <row r="12" spans="2:16" x14ac:dyDescent="0.3">
      <c r="B12" s="4"/>
      <c r="C12" s="5" t="s">
        <v>52</v>
      </c>
      <c r="H12" s="92" t="s">
        <v>72</v>
      </c>
      <c r="I12" s="93" t="s">
        <v>390</v>
      </c>
    </row>
    <row r="13" spans="2:16" s="17" customFormat="1" ht="80.099999999999994" customHeight="1" x14ac:dyDescent="0.3">
      <c r="C13" s="579" t="s">
        <v>95</v>
      </c>
      <c r="D13" s="579"/>
      <c r="E13" s="579"/>
      <c r="F13" s="579"/>
      <c r="H13" s="92" t="s">
        <v>73</v>
      </c>
      <c r="I13" s="93" t="s">
        <v>62</v>
      </c>
    </row>
    <row r="14" spans="2:16" s="17" customFormat="1" ht="69.900000000000006" customHeight="1" x14ac:dyDescent="0.3">
      <c r="C14" s="579" t="s">
        <v>96</v>
      </c>
      <c r="D14" s="579"/>
      <c r="E14" s="579"/>
      <c r="F14" s="579"/>
      <c r="H14" s="92" t="s">
        <v>74</v>
      </c>
      <c r="I14" s="93" t="s">
        <v>391</v>
      </c>
    </row>
    <row r="15" spans="2:16" s="17" customFormat="1" ht="50.1" customHeight="1" x14ac:dyDescent="0.3">
      <c r="C15" s="579" t="s">
        <v>97</v>
      </c>
      <c r="D15" s="579"/>
      <c r="E15" s="579"/>
      <c r="F15" s="579"/>
      <c r="H15" s="92" t="s">
        <v>76</v>
      </c>
      <c r="I15" s="93" t="s">
        <v>392</v>
      </c>
    </row>
    <row r="16" spans="2:16" s="17" customFormat="1" ht="54.9" customHeight="1" x14ac:dyDescent="0.3">
      <c r="C16" s="579" t="s">
        <v>98</v>
      </c>
      <c r="D16" s="579"/>
      <c r="E16" s="579"/>
      <c r="F16" s="579"/>
    </row>
    <row r="17" spans="2:9" s="17" customFormat="1" ht="39.9" customHeight="1" x14ac:dyDescent="0.3">
      <c r="C17" s="579" t="s">
        <v>99</v>
      </c>
      <c r="D17" s="579"/>
      <c r="E17" s="579"/>
      <c r="F17" s="579"/>
      <c r="H17"/>
      <c r="I17"/>
    </row>
    <row r="19" spans="2:9" x14ac:dyDescent="0.3">
      <c r="B19" s="4" t="s">
        <v>25</v>
      </c>
    </row>
    <row r="20" spans="2:9" x14ac:dyDescent="0.3">
      <c r="C20" s="5" t="s">
        <v>23</v>
      </c>
    </row>
    <row r="21" spans="2:9" x14ac:dyDescent="0.3">
      <c r="C21" s="5" t="s">
        <v>26</v>
      </c>
      <c r="H21" s="17"/>
      <c r="I21" s="17"/>
    </row>
    <row r="22" spans="2:9" s="17" customFormat="1" x14ac:dyDescent="0.3">
      <c r="H22"/>
      <c r="I22"/>
    </row>
    <row r="23" spans="2:9" x14ac:dyDescent="0.3">
      <c r="B23" s="26" t="s">
        <v>27</v>
      </c>
    </row>
    <row r="24" spans="2:9" x14ac:dyDescent="0.3">
      <c r="C24" s="6" t="s">
        <v>100</v>
      </c>
    </row>
    <row r="25" spans="2:9" x14ac:dyDescent="0.3">
      <c r="B25" s="7"/>
    </row>
    <row r="26" spans="2:9" x14ac:dyDescent="0.3">
      <c r="B26" s="26" t="s">
        <v>253</v>
      </c>
      <c r="H26" s="95"/>
      <c r="I26" s="96"/>
    </row>
    <row r="27" spans="2:9" s="17" customFormat="1" x14ac:dyDescent="0.3">
      <c r="C27" s="5" t="s">
        <v>254</v>
      </c>
      <c r="H27" s="95"/>
      <c r="I27" s="96"/>
    </row>
    <row r="28" spans="2:9" s="17" customFormat="1" x14ac:dyDescent="0.3">
      <c r="H28"/>
      <c r="I28"/>
    </row>
    <row r="29" spans="2:9" ht="18" x14ac:dyDescent="0.35">
      <c r="B29" s="79" t="s">
        <v>47</v>
      </c>
    </row>
    <row r="30" spans="2:9" ht="75" customHeight="1" x14ac:dyDescent="0.3">
      <c r="C30" s="360" t="s">
        <v>101</v>
      </c>
      <c r="D30" s="360"/>
      <c r="E30" s="360"/>
      <c r="F30" s="360"/>
    </row>
    <row r="31" spans="2:9" ht="50.1" customHeight="1" x14ac:dyDescent="0.3">
      <c r="C31" s="360" t="s">
        <v>393</v>
      </c>
      <c r="D31" s="360"/>
      <c r="E31" s="360"/>
      <c r="F31" s="360"/>
    </row>
    <row r="32" spans="2:9" s="17" customFormat="1" ht="50.1" customHeight="1" x14ac:dyDescent="0.3">
      <c r="C32" s="360" t="s">
        <v>395</v>
      </c>
      <c r="D32" s="360"/>
      <c r="E32" s="360"/>
      <c r="F32" s="360"/>
    </row>
    <row r="33" spans="3:6" ht="50.1" customHeight="1" x14ac:dyDescent="0.3">
      <c r="C33" s="360" t="s">
        <v>48</v>
      </c>
      <c r="D33" s="360"/>
      <c r="E33" s="360"/>
      <c r="F33" s="360"/>
    </row>
    <row r="34" spans="3:6" ht="50.1" customHeight="1" x14ac:dyDescent="0.3">
      <c r="C34" s="360" t="s">
        <v>49</v>
      </c>
      <c r="D34" s="360"/>
      <c r="E34" s="360"/>
      <c r="F34" s="360"/>
    </row>
    <row r="35" spans="3:6" ht="35.1" customHeight="1" x14ac:dyDescent="0.3">
      <c r="C35" s="360" t="s">
        <v>50</v>
      </c>
      <c r="D35" s="360"/>
      <c r="E35" s="360"/>
      <c r="F35" s="360"/>
    </row>
    <row r="36" spans="3:6" ht="50.1" customHeight="1" x14ac:dyDescent="0.3">
      <c r="C36" s="360" t="s">
        <v>51</v>
      </c>
      <c r="D36" s="360"/>
      <c r="E36" s="360"/>
      <c r="F36" s="360"/>
    </row>
    <row r="37" spans="3:6" ht="50.1" customHeight="1" x14ac:dyDescent="0.3">
      <c r="C37" s="360" t="s">
        <v>54</v>
      </c>
      <c r="D37" s="360"/>
      <c r="E37" s="360"/>
      <c r="F37" s="360"/>
    </row>
    <row r="38" spans="3:6" s="17" customFormat="1" ht="65.099999999999994" customHeight="1" x14ac:dyDescent="0.3">
      <c r="C38" s="360" t="s">
        <v>394</v>
      </c>
      <c r="D38" s="360"/>
      <c r="E38" s="360"/>
      <c r="F38" s="360"/>
    </row>
    <row r="39" spans="3:6" s="17" customFormat="1" ht="35.1" customHeight="1" x14ac:dyDescent="0.3">
      <c r="C39" s="360" t="s">
        <v>396</v>
      </c>
      <c r="D39" s="360"/>
      <c r="E39" s="360"/>
      <c r="F39" s="360"/>
    </row>
    <row r="40" spans="3:6" ht="80.099999999999994" customHeight="1" x14ac:dyDescent="0.3">
      <c r="C40" s="360" t="s">
        <v>55</v>
      </c>
      <c r="D40" s="360"/>
      <c r="E40" s="360"/>
      <c r="F40" s="360"/>
    </row>
  </sheetData>
  <mergeCells count="16">
    <mergeCell ref="C30:F30"/>
    <mergeCell ref="C13:F13"/>
    <mergeCell ref="C14:F14"/>
    <mergeCell ref="C15:F15"/>
    <mergeCell ref="C16:F16"/>
    <mergeCell ref="C17:F17"/>
    <mergeCell ref="C31:F31"/>
    <mergeCell ref="C32:F32"/>
    <mergeCell ref="C37:F37"/>
    <mergeCell ref="C38:F38"/>
    <mergeCell ref="C40:F40"/>
    <mergeCell ref="C33:F33"/>
    <mergeCell ref="C34:F34"/>
    <mergeCell ref="C35:F35"/>
    <mergeCell ref="C36:F36"/>
    <mergeCell ref="C39:F39"/>
  </mergeCells>
  <hyperlinks>
    <hyperlink ref="C24" r:id="rId1" display="http://www.dfw.state.or.us/wildlife/diversity/species/threatened_endangered_candidate_list.asp"/>
    <hyperlink ref="C21" r:id="rId2"/>
    <hyperlink ref="C20" r:id="rId3"/>
    <hyperlink ref="C8" r:id="rId4"/>
    <hyperlink ref="C27" r:id="rId5"/>
    <hyperlink ref="C9" r:id="rId6"/>
    <hyperlink ref="C12" r:id="rId7"/>
    <hyperlink ref="C4" r:id="rId8"/>
  </hyperlinks>
  <printOptions horizontalCentered="1"/>
  <pageMargins left="0.25" right="0.25" top="0.5" bottom="0.5" header="0.3" footer="0.3"/>
  <pageSetup scale="54" orientation="portrait" r:id="rId9"/>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zoomScale="75" zoomScaleNormal="75" workbookViewId="0">
      <selection activeCell="B1" sqref="B1"/>
    </sheetView>
  </sheetViews>
  <sheetFormatPr defaultRowHeight="14.4" x14ac:dyDescent="0.3"/>
  <cols>
    <col min="1" max="1" width="4.6640625" style="17" customWidth="1"/>
    <col min="2" max="2" width="120.88671875" customWidth="1"/>
    <col min="3" max="3" width="12.6640625" customWidth="1"/>
    <col min="9" max="9" width="11.33203125" bestFit="1" customWidth="1"/>
    <col min="11" max="11" width="10.33203125" bestFit="1" customWidth="1"/>
    <col min="12" max="12" width="10" bestFit="1" customWidth="1"/>
    <col min="13" max="13" width="11" bestFit="1" customWidth="1"/>
    <col min="14" max="14" width="5.6640625" bestFit="1" customWidth="1"/>
    <col min="15" max="15" width="6.6640625" bestFit="1" customWidth="1"/>
    <col min="16" max="16" width="7.33203125" bestFit="1" customWidth="1"/>
    <col min="17" max="17" width="8" bestFit="1" customWidth="1"/>
    <col min="18" max="18" width="10.5546875" bestFit="1" customWidth="1"/>
    <col min="20" max="20" width="10.6640625" bestFit="1" customWidth="1"/>
    <col min="21" max="21" width="11.109375" bestFit="1" customWidth="1"/>
    <col min="22" max="22" width="14.5546875" bestFit="1" customWidth="1"/>
    <col min="23" max="23" width="17.33203125" bestFit="1" customWidth="1"/>
  </cols>
  <sheetData>
    <row r="1" spans="2:24" s="17" customFormat="1" ht="30" customHeight="1" x14ac:dyDescent="0.3">
      <c r="B1" s="182" t="str">
        <f>CONCATENATE('Cover Page'!B1:L1," ", 'Cover Page'!B2:L2," - HabRate SUMMARY")</f>
        <v>FISH PASSAGE CREDIT CALCULATOR Version 1.1 - HabRate SUMMARY</v>
      </c>
    </row>
    <row r="2" spans="2:24" s="17" customFormat="1" ht="21" x14ac:dyDescent="0.4">
      <c r="B2" s="78"/>
    </row>
    <row r="3" spans="2:24" ht="17.399999999999999" x14ac:dyDescent="0.3">
      <c r="B3" s="275" t="s">
        <v>41</v>
      </c>
      <c r="C3" s="276"/>
    </row>
    <row r="4" spans="2:24" ht="17.399999999999999" x14ac:dyDescent="0.3">
      <c r="B4" s="275" t="s">
        <v>42</v>
      </c>
      <c r="C4" s="277"/>
      <c r="M4" s="9"/>
      <c r="N4" s="13"/>
      <c r="O4" s="13"/>
      <c r="P4" s="13"/>
      <c r="Q4" s="13"/>
      <c r="R4" s="13"/>
      <c r="S4" s="13"/>
      <c r="T4" s="13"/>
      <c r="U4" s="13"/>
      <c r="V4" s="13"/>
      <c r="W4" s="13"/>
      <c r="X4" s="13"/>
    </row>
    <row r="5" spans="2:24" ht="80.099999999999994" customHeight="1" x14ac:dyDescent="0.3">
      <c r="B5" s="278" t="s">
        <v>43</v>
      </c>
      <c r="C5" s="279"/>
      <c r="D5" s="4"/>
      <c r="F5" s="10"/>
      <c r="G5" s="10"/>
      <c r="H5" s="10"/>
      <c r="I5" s="10"/>
      <c r="J5" s="11"/>
      <c r="K5" s="11"/>
      <c r="L5" s="11"/>
      <c r="M5" s="11"/>
      <c r="N5" s="13"/>
      <c r="O5" s="13"/>
      <c r="P5" s="13"/>
      <c r="Q5" s="13"/>
      <c r="R5" s="13"/>
      <c r="S5" s="13"/>
      <c r="T5" s="13"/>
      <c r="U5" s="13"/>
      <c r="V5" s="13"/>
      <c r="W5" s="13"/>
      <c r="X5" s="13"/>
    </row>
    <row r="6" spans="2:24" x14ac:dyDescent="0.3">
      <c r="F6" s="12"/>
      <c r="G6" s="12"/>
      <c r="H6" s="12"/>
      <c r="I6" s="12"/>
      <c r="J6" s="13"/>
      <c r="K6" s="13"/>
      <c r="L6" s="13"/>
      <c r="M6" s="13"/>
      <c r="N6" s="13"/>
      <c r="O6" s="13"/>
      <c r="P6" s="13"/>
      <c r="Q6" s="13"/>
      <c r="R6" s="13"/>
      <c r="S6" s="13"/>
      <c r="T6" s="14"/>
      <c r="U6" s="12"/>
      <c r="V6" s="12"/>
      <c r="W6" s="10"/>
    </row>
    <row r="7" spans="2:24" ht="399.9" customHeight="1" x14ac:dyDescent="0.3">
      <c r="B7" s="280" t="s">
        <v>44</v>
      </c>
    </row>
    <row r="8" spans="2:24" ht="45" x14ac:dyDescent="0.3">
      <c r="B8" s="8" t="s">
        <v>45</v>
      </c>
    </row>
    <row r="9" spans="2:24" x14ac:dyDescent="0.3">
      <c r="B9" s="5" t="s">
        <v>197</v>
      </c>
    </row>
    <row r="11" spans="2:24" ht="60" customHeight="1" x14ac:dyDescent="0.3">
      <c r="B11" s="16" t="s">
        <v>102</v>
      </c>
    </row>
  </sheetData>
  <hyperlinks>
    <hyperlink ref="B9" r:id="rId1"/>
  </hyperlinks>
  <pageMargins left="0.5" right="0.5" top="0.5" bottom="0.5" header="0.3" footer="0.3"/>
  <pageSetup orientation="portrait" r:id="rId2"/>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56"/>
  <sheetViews>
    <sheetView zoomScale="75" zoomScaleNormal="75" workbookViewId="0">
      <selection activeCell="B2" sqref="B2"/>
    </sheetView>
  </sheetViews>
  <sheetFormatPr defaultColWidth="9.109375" defaultRowHeight="15.6" x14ac:dyDescent="0.3"/>
  <cols>
    <col min="1" max="1" width="4.6640625" style="98" customWidth="1"/>
    <col min="2" max="2" width="9.109375" style="98"/>
    <col min="3" max="3" width="21.5546875" style="98" bestFit="1" customWidth="1"/>
    <col min="4" max="4" width="9.109375" style="98"/>
    <col min="5" max="5" width="10.109375" style="98" bestFit="1" customWidth="1"/>
    <col min="6" max="6" width="29.44140625" style="98" customWidth="1"/>
    <col min="7" max="7" width="19.5546875" style="98" customWidth="1"/>
    <col min="8" max="8" width="9.44140625" style="98" customWidth="1"/>
    <col min="9" max="9" width="14.88671875" style="98" customWidth="1"/>
    <col min="10" max="10" width="12.5546875" style="98" customWidth="1"/>
    <col min="11" max="11" width="4.109375" style="98" customWidth="1"/>
    <col min="12" max="12" width="14.5546875" style="98" customWidth="1"/>
    <col min="13" max="13" width="9.109375" style="98"/>
    <col min="14" max="14" width="4.33203125" style="98" customWidth="1"/>
    <col min="15" max="15" width="14.109375" style="98" customWidth="1"/>
    <col min="16" max="16" width="9.109375" style="98"/>
    <col min="17" max="17" width="6.5546875" style="98" customWidth="1"/>
    <col min="18" max="18" width="22.44140625" style="98" customWidth="1"/>
    <col min="19" max="16384" width="9.109375" style="98"/>
  </cols>
  <sheetData>
    <row r="1" spans="2:17" s="18" customFormat="1" ht="30" customHeight="1" x14ac:dyDescent="0.3">
      <c r="B1" s="182" t="str">
        <f>CONCATENATE('Cover Page'!B1:L1," ", 'Cover Page'!B2:L2," - DROPDOWN LISTS")</f>
        <v>FISH PASSAGE CREDIT CALCULATOR Version 1.1 - DROPDOWN LISTS</v>
      </c>
      <c r="D1" s="62"/>
      <c r="E1" s="61"/>
      <c r="F1" s="61"/>
      <c r="G1" s="61"/>
      <c r="H1" s="61"/>
      <c r="I1" s="61"/>
      <c r="Q1" s="197"/>
    </row>
    <row r="2" spans="2:17" s="18" customFormat="1" ht="12.75" customHeight="1" x14ac:dyDescent="0.3">
      <c r="B2" s="182"/>
      <c r="D2" s="62"/>
      <c r="E2" s="61"/>
      <c r="F2" s="61"/>
      <c r="G2" s="61"/>
      <c r="H2" s="61"/>
      <c r="I2" s="61"/>
      <c r="Q2" s="197"/>
    </row>
    <row r="3" spans="2:17" ht="16.5" customHeight="1" x14ac:dyDescent="0.3">
      <c r="B3" s="228" t="s">
        <v>158</v>
      </c>
      <c r="C3" s="229"/>
      <c r="D3" s="229"/>
      <c r="E3" s="229"/>
      <c r="F3" s="229"/>
    </row>
    <row r="5" spans="2:17" x14ac:dyDescent="0.3">
      <c r="C5" s="230" t="s">
        <v>305</v>
      </c>
      <c r="D5" s="230"/>
      <c r="E5" s="230"/>
      <c r="F5" s="230"/>
    </row>
    <row r="6" spans="2:17" x14ac:dyDescent="0.3">
      <c r="C6" s="231"/>
      <c r="D6" s="232"/>
      <c r="E6" s="231"/>
      <c r="F6" s="231"/>
      <c r="G6" s="231"/>
    </row>
    <row r="7" spans="2:17" x14ac:dyDescent="0.3">
      <c r="C7" s="233" t="s">
        <v>306</v>
      </c>
      <c r="D7" s="585" t="s">
        <v>311</v>
      </c>
      <c r="E7" s="585"/>
      <c r="F7" s="234"/>
      <c r="G7" s="234"/>
      <c r="H7" s="232"/>
      <c r="I7" s="232"/>
    </row>
    <row r="8" spans="2:17" x14ac:dyDescent="0.3">
      <c r="C8" s="233"/>
      <c r="D8" s="586"/>
      <c r="E8" s="587"/>
      <c r="F8" s="234"/>
      <c r="G8" s="234"/>
      <c r="H8" s="232"/>
      <c r="I8" s="232"/>
    </row>
    <row r="9" spans="2:17" x14ac:dyDescent="0.3">
      <c r="C9" s="235" t="s">
        <v>307</v>
      </c>
      <c r="D9" s="585" t="s">
        <v>309</v>
      </c>
      <c r="E9" s="585"/>
      <c r="F9" s="236"/>
      <c r="G9" s="237"/>
      <c r="H9" s="232"/>
      <c r="I9" s="234"/>
      <c r="L9" s="231"/>
    </row>
    <row r="10" spans="2:17" x14ac:dyDescent="0.3">
      <c r="C10" s="235" t="s">
        <v>308</v>
      </c>
      <c r="D10" s="585" t="s">
        <v>310</v>
      </c>
      <c r="E10" s="585"/>
      <c r="F10" s="236"/>
      <c r="G10" s="237"/>
      <c r="H10" s="232"/>
      <c r="I10" s="232"/>
      <c r="L10" s="231"/>
    </row>
    <row r="11" spans="2:17" x14ac:dyDescent="0.3">
      <c r="D11" s="102"/>
    </row>
    <row r="12" spans="2:17" x14ac:dyDescent="0.3">
      <c r="C12" s="230" t="s">
        <v>317</v>
      </c>
      <c r="D12" s="230"/>
      <c r="E12" s="230"/>
      <c r="F12" s="230"/>
    </row>
    <row r="13" spans="2:17" x14ac:dyDescent="0.3">
      <c r="C13" s="231"/>
      <c r="D13" s="231"/>
      <c r="E13" s="231"/>
      <c r="F13" s="231"/>
      <c r="G13" s="231"/>
    </row>
    <row r="14" spans="2:17" x14ac:dyDescent="0.3">
      <c r="F14" s="238" t="s">
        <v>286</v>
      </c>
    </row>
    <row r="15" spans="2:17" x14ac:dyDescent="0.3">
      <c r="C15" s="582" t="s">
        <v>22</v>
      </c>
      <c r="D15" s="582"/>
      <c r="F15" s="239" t="s">
        <v>22</v>
      </c>
      <c r="G15" s="240" t="s">
        <v>285</v>
      </c>
      <c r="I15" s="241" t="s">
        <v>19</v>
      </c>
    </row>
    <row r="16" spans="2:17" x14ac:dyDescent="0.3">
      <c r="C16" s="371"/>
      <c r="D16" s="371"/>
      <c r="F16" s="242" t="s">
        <v>18</v>
      </c>
      <c r="G16" s="243">
        <v>1</v>
      </c>
      <c r="I16" s="244"/>
      <c r="L16" s="245"/>
    </row>
    <row r="17" spans="3:15" x14ac:dyDescent="0.3">
      <c r="C17" s="583" t="s">
        <v>18</v>
      </c>
      <c r="D17" s="584"/>
      <c r="F17" s="242" t="s">
        <v>268</v>
      </c>
      <c r="G17" s="243">
        <v>0.8</v>
      </c>
      <c r="I17" s="244" t="s">
        <v>20</v>
      </c>
      <c r="L17" s="231"/>
    </row>
    <row r="18" spans="3:15" x14ac:dyDescent="0.3">
      <c r="C18" s="583" t="s">
        <v>268</v>
      </c>
      <c r="D18" s="584"/>
      <c r="F18" s="242" t="s">
        <v>290</v>
      </c>
      <c r="G18" s="243">
        <v>0.6</v>
      </c>
      <c r="L18" s="231"/>
    </row>
    <row r="19" spans="3:15" x14ac:dyDescent="0.3">
      <c r="C19" s="583" t="s">
        <v>290</v>
      </c>
      <c r="D19" s="584"/>
      <c r="F19" s="242"/>
      <c r="G19" s="240"/>
    </row>
    <row r="21" spans="3:15" x14ac:dyDescent="0.3">
      <c r="C21" s="230" t="s">
        <v>284</v>
      </c>
      <c r="D21" s="230"/>
      <c r="E21" s="230"/>
      <c r="F21" s="230"/>
    </row>
    <row r="22" spans="3:15" x14ac:dyDescent="0.3">
      <c r="C22" s="231"/>
      <c r="D22" s="231"/>
      <c r="E22" s="231"/>
      <c r="F22" s="231"/>
    </row>
    <row r="23" spans="3:15" ht="35.25" customHeight="1" x14ac:dyDescent="0.3">
      <c r="C23" s="580" t="s">
        <v>71</v>
      </c>
      <c r="D23" s="581"/>
      <c r="F23" s="580" t="s">
        <v>133</v>
      </c>
      <c r="G23" s="581"/>
      <c r="I23" s="589" t="s">
        <v>157</v>
      </c>
      <c r="J23" s="590"/>
    </row>
    <row r="24" spans="3:15" x14ac:dyDescent="0.3">
      <c r="C24" s="246" t="s">
        <v>104</v>
      </c>
      <c r="D24" s="246" t="s">
        <v>151</v>
      </c>
      <c r="F24" s="246" t="s">
        <v>104</v>
      </c>
      <c r="G24" s="246" t="s">
        <v>151</v>
      </c>
      <c r="I24" s="247" t="s">
        <v>131</v>
      </c>
      <c r="J24" s="247" t="s">
        <v>132</v>
      </c>
      <c r="K24" s="588"/>
      <c r="L24" s="588"/>
      <c r="M24" s="588"/>
      <c r="N24" s="588"/>
      <c r="O24" s="588"/>
    </row>
    <row r="25" spans="3:15" x14ac:dyDescent="0.3">
      <c r="C25" s="246"/>
      <c r="D25" s="246"/>
      <c r="F25" s="246"/>
      <c r="G25" s="248"/>
      <c r="I25" s="246" t="s">
        <v>128</v>
      </c>
      <c r="J25" s="244">
        <v>1</v>
      </c>
      <c r="L25" s="111"/>
      <c r="M25" s="111"/>
    </row>
    <row r="26" spans="3:15" x14ac:dyDescent="0.3">
      <c r="C26" s="249" t="s">
        <v>146</v>
      </c>
      <c r="D26" s="248">
        <v>1</v>
      </c>
      <c r="F26" s="246" t="s">
        <v>134</v>
      </c>
      <c r="G26" s="248">
        <v>1</v>
      </c>
      <c r="I26" s="246" t="s">
        <v>129</v>
      </c>
      <c r="J26" s="244">
        <v>2</v>
      </c>
      <c r="L26" s="111"/>
      <c r="M26" s="250"/>
    </row>
    <row r="27" spans="3:15" x14ac:dyDescent="0.3">
      <c r="C27" s="249" t="s">
        <v>135</v>
      </c>
      <c r="D27" s="248">
        <v>0.6</v>
      </c>
      <c r="F27" s="246" t="s">
        <v>136</v>
      </c>
      <c r="G27" s="248">
        <v>0.75</v>
      </c>
      <c r="I27" s="246" t="s">
        <v>130</v>
      </c>
      <c r="J27" s="244">
        <v>3</v>
      </c>
      <c r="L27" s="111"/>
      <c r="M27" s="250"/>
    </row>
    <row r="28" spans="3:15" x14ac:dyDescent="0.3">
      <c r="C28" s="249" t="s">
        <v>152</v>
      </c>
      <c r="D28" s="248">
        <v>0.3</v>
      </c>
      <c r="F28" s="246" t="s">
        <v>137</v>
      </c>
      <c r="G28" s="248">
        <v>0.5</v>
      </c>
      <c r="L28" s="251"/>
      <c r="M28" s="250"/>
    </row>
    <row r="29" spans="3:15" x14ac:dyDescent="0.3">
      <c r="C29" s="252" t="s">
        <v>153</v>
      </c>
      <c r="D29" s="248">
        <v>1</v>
      </c>
      <c r="F29" s="246" t="s">
        <v>138</v>
      </c>
      <c r="G29" s="248">
        <v>0.25</v>
      </c>
      <c r="L29" s="111"/>
      <c r="M29" s="250"/>
    </row>
    <row r="30" spans="3:15" x14ac:dyDescent="0.3">
      <c r="F30" s="252" t="s">
        <v>153</v>
      </c>
      <c r="G30" s="253">
        <v>1</v>
      </c>
    </row>
    <row r="33" spans="2:19" x14ac:dyDescent="0.3">
      <c r="C33" s="230" t="s">
        <v>159</v>
      </c>
      <c r="D33" s="230"/>
      <c r="E33" s="230"/>
      <c r="F33" s="230"/>
    </row>
    <row r="34" spans="2:19" x14ac:dyDescent="0.3">
      <c r="C34" s="231"/>
      <c r="D34" s="231"/>
      <c r="E34" s="231"/>
      <c r="F34" s="231"/>
    </row>
    <row r="35" spans="2:19" x14ac:dyDescent="0.3">
      <c r="C35" s="580" t="s">
        <v>282</v>
      </c>
      <c r="D35" s="581"/>
      <c r="F35" s="580" t="s">
        <v>161</v>
      </c>
      <c r="G35" s="581"/>
      <c r="I35" s="580" t="s">
        <v>283</v>
      </c>
      <c r="J35" s="581"/>
    </row>
    <row r="36" spans="2:19" x14ac:dyDescent="0.3">
      <c r="C36" s="246" t="s">
        <v>104</v>
      </c>
      <c r="D36" s="246" t="s">
        <v>151</v>
      </c>
      <c r="F36" s="246" t="s">
        <v>104</v>
      </c>
      <c r="G36" s="246" t="s">
        <v>151</v>
      </c>
      <c r="I36" s="246" t="s">
        <v>104</v>
      </c>
      <c r="J36" s="246" t="s">
        <v>151</v>
      </c>
    </row>
    <row r="37" spans="2:19" x14ac:dyDescent="0.3">
      <c r="C37" s="246"/>
      <c r="D37" s="246"/>
      <c r="F37" s="246"/>
      <c r="G37" s="246"/>
      <c r="I37" s="246"/>
      <c r="J37" s="246"/>
    </row>
    <row r="38" spans="2:19" x14ac:dyDescent="0.3">
      <c r="C38" s="246" t="s">
        <v>146</v>
      </c>
      <c r="D38" s="248">
        <v>1</v>
      </c>
      <c r="F38" s="247" t="s">
        <v>123</v>
      </c>
      <c r="G38" s="248">
        <v>1</v>
      </c>
      <c r="I38" s="244" t="s">
        <v>17</v>
      </c>
      <c r="J38" s="248">
        <v>1</v>
      </c>
    </row>
    <row r="39" spans="2:19" x14ac:dyDescent="0.3">
      <c r="C39" s="246" t="s">
        <v>148</v>
      </c>
      <c r="D39" s="248">
        <v>0.75</v>
      </c>
      <c r="F39" s="247" t="s">
        <v>124</v>
      </c>
      <c r="G39" s="248">
        <v>0.6</v>
      </c>
      <c r="I39" s="244" t="s">
        <v>16</v>
      </c>
      <c r="J39" s="248">
        <v>0.25</v>
      </c>
    </row>
    <row r="40" spans="2:19" x14ac:dyDescent="0.3">
      <c r="C40" s="246" t="s">
        <v>160</v>
      </c>
      <c r="D40" s="248">
        <v>0.5</v>
      </c>
      <c r="F40" s="247" t="s">
        <v>125</v>
      </c>
      <c r="G40" s="248">
        <v>0.3</v>
      </c>
    </row>
    <row r="41" spans="2:19" x14ac:dyDescent="0.3">
      <c r="C41" s="246" t="s">
        <v>150</v>
      </c>
      <c r="D41" s="248">
        <v>0.25</v>
      </c>
      <c r="F41" s="232"/>
      <c r="G41" s="232"/>
      <c r="R41" s="102"/>
      <c r="S41" s="255"/>
    </row>
    <row r="42" spans="2:19" x14ac:dyDescent="0.3">
      <c r="C42" s="252" t="s">
        <v>153</v>
      </c>
      <c r="D42" s="253">
        <v>1</v>
      </c>
      <c r="F42" s="232"/>
      <c r="G42" s="232"/>
      <c r="R42" s="102"/>
      <c r="S42" s="102"/>
    </row>
    <row r="43" spans="2:19" x14ac:dyDescent="0.3">
      <c r="F43" s="102"/>
      <c r="G43" s="102"/>
    </row>
    <row r="44" spans="2:19" x14ac:dyDescent="0.3">
      <c r="C44" s="580" t="s">
        <v>281</v>
      </c>
      <c r="D44" s="581"/>
      <c r="F44" s="580" t="s">
        <v>144</v>
      </c>
      <c r="G44" s="581"/>
      <c r="I44" s="254" t="s">
        <v>139</v>
      </c>
    </row>
    <row r="45" spans="2:19" x14ac:dyDescent="0.3">
      <c r="B45" s="102"/>
      <c r="C45" s="246" t="s">
        <v>104</v>
      </c>
      <c r="D45" s="246" t="s">
        <v>151</v>
      </c>
      <c r="F45" s="246" t="s">
        <v>104</v>
      </c>
      <c r="G45" s="246" t="s">
        <v>151</v>
      </c>
      <c r="H45" s="102"/>
      <c r="I45" s="246" t="s">
        <v>104</v>
      </c>
      <c r="J45" s="246" t="s">
        <v>151</v>
      </c>
    </row>
    <row r="46" spans="2:19" x14ac:dyDescent="0.3">
      <c r="B46" s="102"/>
      <c r="C46" s="246"/>
      <c r="D46" s="246"/>
      <c r="F46" s="246"/>
      <c r="G46" s="246"/>
      <c r="H46" s="102"/>
      <c r="I46" s="246"/>
      <c r="J46" s="246"/>
    </row>
    <row r="47" spans="2:19" ht="17.399999999999999" x14ac:dyDescent="0.3">
      <c r="B47" s="102"/>
      <c r="C47" s="246" t="s">
        <v>145</v>
      </c>
      <c r="D47" s="248">
        <v>1</v>
      </c>
      <c r="F47" s="246" t="s">
        <v>313</v>
      </c>
      <c r="G47" s="248">
        <v>1</v>
      </c>
      <c r="H47" s="102"/>
      <c r="I47" s="246" t="s">
        <v>140</v>
      </c>
      <c r="J47" s="248">
        <v>1</v>
      </c>
    </row>
    <row r="48" spans="2:19" ht="17.399999999999999" x14ac:dyDescent="0.3">
      <c r="B48" s="102"/>
      <c r="C48" s="246" t="s">
        <v>147</v>
      </c>
      <c r="D48" s="248">
        <v>0.6</v>
      </c>
      <c r="F48" s="246" t="s">
        <v>314</v>
      </c>
      <c r="G48" s="248">
        <v>0.6</v>
      </c>
      <c r="H48" s="102"/>
      <c r="I48" s="246" t="s">
        <v>141</v>
      </c>
      <c r="J48" s="248">
        <v>0.6</v>
      </c>
    </row>
    <row r="49" spans="2:10" ht="17.399999999999999" x14ac:dyDescent="0.3">
      <c r="B49" s="102"/>
      <c r="C49" s="256" t="s">
        <v>149</v>
      </c>
      <c r="D49" s="248">
        <v>0.3</v>
      </c>
      <c r="F49" s="246" t="s">
        <v>315</v>
      </c>
      <c r="G49" s="248">
        <v>0.3</v>
      </c>
      <c r="H49" s="102"/>
      <c r="I49" s="246" t="s">
        <v>142</v>
      </c>
      <c r="J49" s="248">
        <v>0.3</v>
      </c>
    </row>
    <row r="50" spans="2:10" x14ac:dyDescent="0.3">
      <c r="B50" s="102"/>
      <c r="C50" s="246" t="s">
        <v>153</v>
      </c>
      <c r="D50" s="248">
        <v>1</v>
      </c>
      <c r="F50" s="102"/>
      <c r="G50" s="255"/>
      <c r="H50" s="102"/>
      <c r="I50" s="102"/>
    </row>
    <row r="51" spans="2:10" x14ac:dyDescent="0.3">
      <c r="B51" s="102"/>
      <c r="H51" s="102"/>
      <c r="I51" s="102"/>
    </row>
    <row r="52" spans="2:10" x14ac:dyDescent="0.3">
      <c r="B52" s="102"/>
      <c r="C52" s="102"/>
      <c r="D52" s="102"/>
      <c r="E52" s="102"/>
      <c r="F52" s="257"/>
      <c r="G52" s="102"/>
      <c r="H52" s="102"/>
      <c r="I52" s="102"/>
    </row>
    <row r="53" spans="2:10" x14ac:dyDescent="0.3">
      <c r="B53" s="102"/>
      <c r="C53" s="102"/>
      <c r="D53" s="102"/>
      <c r="E53" s="102"/>
      <c r="F53" s="102"/>
      <c r="G53" s="102"/>
      <c r="H53" s="102"/>
      <c r="I53" s="102"/>
    </row>
    <row r="54" spans="2:10" x14ac:dyDescent="0.3">
      <c r="B54" s="102"/>
      <c r="C54" s="102"/>
      <c r="D54" s="102"/>
      <c r="E54" s="102"/>
      <c r="F54" s="102"/>
      <c r="G54" s="102"/>
      <c r="H54" s="102"/>
      <c r="I54" s="102"/>
    </row>
    <row r="55" spans="2:10" x14ac:dyDescent="0.3">
      <c r="B55" s="102"/>
      <c r="C55" s="258"/>
      <c r="D55" s="102"/>
      <c r="E55" s="102"/>
      <c r="F55" s="102"/>
      <c r="G55" s="102"/>
      <c r="H55" s="102"/>
      <c r="I55" s="102"/>
    </row>
    <row r="56" spans="2:10" x14ac:dyDescent="0.3">
      <c r="B56" s="102"/>
      <c r="C56" s="102"/>
      <c r="D56" s="102"/>
      <c r="E56" s="102"/>
      <c r="F56" s="102"/>
      <c r="G56" s="102"/>
      <c r="H56" s="102"/>
      <c r="I56" s="102"/>
    </row>
  </sheetData>
  <sortState ref="F7:G10">
    <sortCondition ref="F7:F10"/>
  </sortState>
  <customSheetViews>
    <customSheetView guid="{2CD00E0D-7A42-4D1F-BB0C-36C7B8A44027}">
      <selection activeCell="B39" sqref="B39"/>
      <pageMargins left="0.7" right="0.7" top="0.75" bottom="0.75" header="0.3" footer="0.3"/>
    </customSheetView>
  </customSheetViews>
  <mergeCells count="18">
    <mergeCell ref="D7:E7"/>
    <mergeCell ref="D9:E9"/>
    <mergeCell ref="D10:E10"/>
    <mergeCell ref="D8:E8"/>
    <mergeCell ref="K24:O24"/>
    <mergeCell ref="I23:J23"/>
    <mergeCell ref="F23:G23"/>
    <mergeCell ref="C23:D23"/>
    <mergeCell ref="C35:D35"/>
    <mergeCell ref="F35:G35"/>
    <mergeCell ref="I35:J35"/>
    <mergeCell ref="C15:D15"/>
    <mergeCell ref="C44:D44"/>
    <mergeCell ref="F44:G44"/>
    <mergeCell ref="C16:D16"/>
    <mergeCell ref="C17:D17"/>
    <mergeCell ref="C18:D18"/>
    <mergeCell ref="C19:D19"/>
  </mergeCells>
  <pageMargins left="0.7" right="0.7" top="0.75" bottom="0.75" header="0.3" footer="0.3"/>
  <pageSetup scale="66"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63</vt:i4>
      </vt:variant>
    </vt:vector>
  </HeadingPairs>
  <TitlesOfParts>
    <vt:vector size="72" baseType="lpstr">
      <vt:lpstr>Introduction</vt:lpstr>
      <vt:lpstr>Cover Page</vt:lpstr>
      <vt:lpstr>Instream-HabRate</vt:lpstr>
      <vt:lpstr>Riparian &amp; Floodplain</vt:lpstr>
      <vt:lpstr>Supporting Landscape</vt:lpstr>
      <vt:lpstr>Credit Calculations</vt:lpstr>
      <vt:lpstr>References</vt:lpstr>
      <vt:lpstr>HabRate Summary</vt:lpstr>
      <vt:lpstr>Dropdown lists</vt:lpstr>
      <vt:lpstr>Checkbox</vt:lpstr>
      <vt:lpstr>DEQ303d</vt:lpstr>
      <vt:lpstr>DEQ303d_Score</vt:lpstr>
      <vt:lpstr>Entrench</vt:lpstr>
      <vt:lpstr>Entrench_Score</vt:lpstr>
      <vt:lpstr>Floodpln</vt:lpstr>
      <vt:lpstr>Floodpln_Score</vt:lpstr>
      <vt:lpstr>FuncRip</vt:lpstr>
      <vt:lpstr>FuncRip_Score</vt:lpstr>
      <vt:lpstr>Instream_Weight</vt:lpstr>
      <vt:lpstr>Landscape</vt:lpstr>
      <vt:lpstr>Landscape_Score</vt:lpstr>
      <vt:lpstr>Landscape_Weight</vt:lpstr>
      <vt:lpstr>lenHData</vt:lpstr>
      <vt:lpstr>LU_DEQ303D_Score</vt:lpstr>
      <vt:lpstr>LU_Entrench_Score</vt:lpstr>
      <vt:lpstr>LU_Floodplain_Score</vt:lpstr>
      <vt:lpstr>LU_NNSp_Score</vt:lpstr>
      <vt:lpstr>LU_Passage_Status</vt:lpstr>
      <vt:lpstr>LU_Pct_Protected_Score</vt:lpstr>
      <vt:lpstr>LU_PctAgrigulture_Score</vt:lpstr>
      <vt:lpstr>LU_RoadDensity_Score</vt:lpstr>
      <vt:lpstr>LU_StreamXDensity_Score</vt:lpstr>
      <vt:lpstr>Mature_Forest_Pct</vt:lpstr>
      <vt:lpstr>Mgt</vt:lpstr>
      <vt:lpstr>Nearstream</vt:lpstr>
      <vt:lpstr>Nearstream_Score</vt:lpstr>
      <vt:lpstr>Nearstream_Weight</vt:lpstr>
      <vt:lpstr>NNSpec</vt:lpstr>
      <vt:lpstr>NNSpec_Score</vt:lpstr>
      <vt:lpstr>Passage_Status</vt:lpstr>
      <vt:lpstr>pClass1</vt:lpstr>
      <vt:lpstr>pClass2</vt:lpstr>
      <vt:lpstr>pClass3</vt:lpstr>
      <vt:lpstr>pClass4</vt:lpstr>
      <vt:lpstr>PctAgriculture</vt:lpstr>
      <vt:lpstr>PctAgriculture_Score</vt:lpstr>
      <vt:lpstr>'Cover Page'!Print_Area</vt:lpstr>
      <vt:lpstr>'Credit Calculations'!Print_Area</vt:lpstr>
      <vt:lpstr>'Dropdown lists'!Print_Area</vt:lpstr>
      <vt:lpstr>'HabRate Summary'!Print_Area</vt:lpstr>
      <vt:lpstr>'Instream-HabRate'!Print_Area</vt:lpstr>
      <vt:lpstr>Introduction!Print_Area</vt:lpstr>
      <vt:lpstr>References!Print_Area</vt:lpstr>
      <vt:lpstr>'Riparian &amp; Floodplain'!Print_Area</vt:lpstr>
      <vt:lpstr>'Supporting Landscape'!Print_Area</vt:lpstr>
      <vt:lpstr>'Instream-HabRate'!Print_Titles</vt:lpstr>
      <vt:lpstr>'Riparian &amp; Floodplain'!Print_Titles</vt:lpstr>
      <vt:lpstr>'Supporting Landscape'!Print_Titles</vt:lpstr>
      <vt:lpstr>Project_Site</vt:lpstr>
      <vt:lpstr>ProtectContArea</vt:lpstr>
      <vt:lpstr>ProtectContArea_Score</vt:lpstr>
      <vt:lpstr>ProtectRiparian</vt:lpstr>
      <vt:lpstr>ProtectRiparian_Score</vt:lpstr>
      <vt:lpstr>Riparian_Pct</vt:lpstr>
      <vt:lpstr>RoadDensity</vt:lpstr>
      <vt:lpstr>RoadDensity_Score</vt:lpstr>
      <vt:lpstr>StreamXDen</vt:lpstr>
      <vt:lpstr>StrmXDen_Score</vt:lpstr>
      <vt:lpstr>TotMiles</vt:lpstr>
      <vt:lpstr>Use_pct</vt:lpstr>
      <vt:lpstr>Veg</vt:lpstr>
      <vt:lpstr>Yes_No</vt:lpstr>
    </vt:vector>
  </TitlesOfParts>
  <Company>The Nature Conservancy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Pickering</dc:creator>
  <cp:lastModifiedBy>Robert Swingle</cp:lastModifiedBy>
  <cp:lastPrinted>2014-02-15T02:35:59Z</cp:lastPrinted>
  <dcterms:created xsi:type="dcterms:W3CDTF">2013-08-02T16:47:16Z</dcterms:created>
  <dcterms:modified xsi:type="dcterms:W3CDTF">2015-07-06T15:26:07Z</dcterms:modified>
</cp:coreProperties>
</file>