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0" yWindow="705" windowWidth="15570" windowHeight="10995" tabRatio="878" activeTab="5"/>
  </bookViews>
  <sheets>
    <sheet name="Introduction" sheetId="12" r:id="rId1"/>
    <sheet name="Cover Page" sheetId="7" r:id="rId2"/>
    <sheet name="Instream-HabRate" sheetId="8" r:id="rId3"/>
    <sheet name="Riparian &amp; Floodplain" sheetId="1" r:id="rId4"/>
    <sheet name="Supporting Landscape" sheetId="9" r:id="rId5"/>
    <sheet name="Credit Calculations" sheetId="11" r:id="rId6"/>
    <sheet name="References" sheetId="4" r:id="rId7"/>
    <sheet name="HabRate Summary" sheetId="5" r:id="rId8"/>
    <sheet name="Dropdown lists" sheetId="3" r:id="rId9"/>
  </sheets>
  <definedNames>
    <definedName name="Checkbox">'Dropdown lists'!$I$16:$I$17</definedName>
    <definedName name="DEQ303d">'Supporting Landscape'!$G$34</definedName>
    <definedName name="DEQ303d_Score">'Supporting Landscape'!$G$35</definedName>
    <definedName name="Entrench">'Riparian &amp; Floodplain'!$G$24</definedName>
    <definedName name="Entrench_Score">'Riparian &amp; Floodplain'!$G$25</definedName>
    <definedName name="Floodpln">'Riparian &amp; Floodplain'!$G$28</definedName>
    <definedName name="Floodpln_Score">'Riparian &amp; Floodplain'!$G$29</definedName>
    <definedName name="FuncRip">'Riparian &amp; Floodplain'!$G$15</definedName>
    <definedName name="FuncRip_Score">'Riparian &amp; Floodplain'!$G$16</definedName>
    <definedName name="Instream">'Credit Calculations'!#REF!</definedName>
    <definedName name="Instream_Weight">'Credit Calculations'!$D$7</definedName>
    <definedName name="Landscape">'Credit Calculations'!$N$9</definedName>
    <definedName name="Landscape_Score">'Credit Calculations'!$L$9</definedName>
    <definedName name="Landscape_Weight">'Credit Calculations'!$D$9</definedName>
    <definedName name="lenHData">'Instream-HabRate'!$R$18</definedName>
    <definedName name="LU_DEQ303D_Score">'Dropdown lists'!$I$37:$J$39</definedName>
    <definedName name="LU_Entrench_Score">'Dropdown lists'!$C$25:$D$29</definedName>
    <definedName name="LU_Floodplain_Score">'Dropdown lists'!$F$25:$G$30</definedName>
    <definedName name="LU_NNSp_Score">'Dropdown lists'!$F$37:$G$40</definedName>
    <definedName name="LU_Passage_Status">'Dropdown lists'!$C$16:$C$18</definedName>
    <definedName name="LU_Pct_Protected_Score">'Dropdown lists'!$C$37:$D$42</definedName>
    <definedName name="LU_PctAgrigulture_Score">'Dropdown lists'!$C$46:$D$50</definedName>
    <definedName name="LU_RoadDensity_Score">'Dropdown lists'!$F$46:$G$49</definedName>
    <definedName name="LU_StreamXDensity_Score">'Dropdown lists'!$I$46:$J$49</definedName>
    <definedName name="Mature_Forest_Pct">'Dropdown lists'!$F$26:$F$29</definedName>
    <definedName name="Mgt">'Credit Calculations'!$E$148</definedName>
    <definedName name="Nearstream">'Credit Calculations'!$N$8</definedName>
    <definedName name="Nearstream_Score">'Credit Calculations'!$L$8</definedName>
    <definedName name="Nearstream_Weight">'Credit Calculations'!$D$8</definedName>
    <definedName name="NNSpec">'Supporting Landscape'!$G$25</definedName>
    <definedName name="NNSpec_Score">'Supporting Landscape'!$G$26</definedName>
    <definedName name="Passage_Status">'Instream-HabRate'!$R$9</definedName>
    <definedName name="pClass1">'Riparian &amp; Floodplain'!$G$11</definedName>
    <definedName name="pClass2">'Riparian &amp; Floodplain'!$G$12</definedName>
    <definedName name="pClass3">'Riparian &amp; Floodplain'!$G$13</definedName>
    <definedName name="pClass4">'Riparian &amp; Floodplain'!$G$14</definedName>
    <definedName name="PctAgriculture">'Supporting Landscape'!$G$38</definedName>
    <definedName name="PctAgriculture_Score">'Supporting Landscape'!$G$39</definedName>
    <definedName name="_xlnm.Print_Area" localSheetId="1">'Cover Page'!$A$1:$M$61</definedName>
    <definedName name="_xlnm.Print_Area" localSheetId="5">'Credit Calculations'!$A$1:$Q$113</definedName>
    <definedName name="_xlnm.Print_Area" localSheetId="8">'Dropdown lists'!$B$3:$J$51</definedName>
    <definedName name="_xlnm.Print_Area" localSheetId="7">'HabRate Summary'!$B$3:$B$14</definedName>
    <definedName name="_xlnm.Print_Area" localSheetId="2">'Instream-HabRate'!$B$1:$U$60</definedName>
    <definedName name="_xlnm.Print_Area" localSheetId="0">Introduction!$A$1:$J$42</definedName>
    <definedName name="_xlnm.Print_Area" localSheetId="6">References!$B$2:$I$43</definedName>
    <definedName name="_xlnm.Print_Area" localSheetId="3">'Riparian &amp; Floodplain'!$B$1:$P$51</definedName>
    <definedName name="_xlnm.Print_Area" localSheetId="4">'Supporting Landscape'!$B$1:$O$56</definedName>
    <definedName name="_xlnm.Print_Titles" localSheetId="2">'Instream-HabRate'!$1:$1</definedName>
    <definedName name="_xlnm.Print_Titles" localSheetId="3">'Riparian &amp; Floodplain'!$1:$6</definedName>
    <definedName name="_xlnm.Print_Titles" localSheetId="4">'Supporting Landscape'!$1:$1</definedName>
    <definedName name="Project_Site">'Cover Page'!$C$4</definedName>
    <definedName name="ProtectContArea">'Supporting Landscape'!$G$16</definedName>
    <definedName name="ProtectContArea_Score">'Supporting Landscape'!$G$17</definedName>
    <definedName name="ProtectRiparian">'Supporting Landscape'!$G$11</definedName>
    <definedName name="ProtectRiparian_Score">'Supporting Landscape'!$G$12</definedName>
    <definedName name="Riparian_Pct">'Dropdown lists'!$I$20:$I$50</definedName>
    <definedName name="RoadDensity">'Supporting Landscape'!$G$42</definedName>
    <definedName name="RoadDensity_Score">'Supporting Landscape'!$G$43</definedName>
    <definedName name="Status">'Credit Calculations'!#REF!</definedName>
    <definedName name="StreamXDen">'Supporting Landscape'!$G$51</definedName>
    <definedName name="StrmXDen_Score">'Supporting Landscape'!$G$52</definedName>
    <definedName name="TotMiles">'Instream-HabRate'!$R$15</definedName>
    <definedName name="Use_pct">'Dropdown lists'!$G$52:$G$54</definedName>
    <definedName name="Veg">'Credit Calculations'!$E$146</definedName>
    <definedName name="Yes_No">'Dropdown lists'!$G$16:$G$17</definedName>
    <definedName name="Z_2CD00E0D_7A42_4D1F_BB0C_36C7B8A44027_.wvu.PrintArea" localSheetId="3" hidden="1">'Riparian &amp; Floodplain'!$B$1:$G$29</definedName>
  </definedNames>
  <calcPr calcId="145621"/>
  <customWorkbookViews>
    <customWorkbookView name="Debbie Pickering - Personal View" guid="{2CD00E0D-7A42-4D1F-BB0C-36C7B8A44027}" mergeInterval="0" personalView="1" maximized="1" windowWidth="1276" windowHeight="759" activeSheetId="1"/>
  </customWorkbookViews>
</workbook>
</file>

<file path=xl/calcChain.xml><?xml version="1.0" encoding="utf-8"?>
<calcChain xmlns="http://schemas.openxmlformats.org/spreadsheetml/2006/main">
  <c r="O48" i="1" l="1"/>
  <c r="O47" i="1"/>
  <c r="O46" i="1"/>
  <c r="O45" i="1"/>
  <c r="O44" i="1"/>
  <c r="O43" i="1"/>
  <c r="O42" i="1"/>
  <c r="O41" i="1"/>
  <c r="O40" i="1"/>
  <c r="O39" i="1"/>
  <c r="O38" i="1"/>
  <c r="O37" i="1"/>
  <c r="O36" i="1"/>
  <c r="O35" i="1"/>
  <c r="O34" i="1"/>
  <c r="O33" i="1"/>
  <c r="O32" i="1"/>
  <c r="O31" i="1"/>
  <c r="O30" i="1"/>
  <c r="O29" i="1"/>
  <c r="O28" i="1"/>
  <c r="O27" i="1"/>
  <c r="O26" i="1"/>
  <c r="O25" i="1"/>
  <c r="O24" i="1"/>
  <c r="J105" i="11" l="1"/>
  <c r="O105" i="11"/>
  <c r="Q38" i="11"/>
  <c r="P38" i="11"/>
  <c r="O38" i="11"/>
  <c r="N38" i="11"/>
  <c r="M38" i="11"/>
  <c r="L38" i="11"/>
  <c r="K38" i="11"/>
  <c r="J38" i="11"/>
  <c r="I38" i="11"/>
  <c r="H38" i="11"/>
  <c r="G38" i="11"/>
  <c r="F38" i="11"/>
  <c r="E38" i="11"/>
  <c r="D38" i="11"/>
  <c r="C38" i="11"/>
  <c r="C68" i="11" s="1"/>
  <c r="Q37" i="11"/>
  <c r="P37" i="11"/>
  <c r="O37" i="11"/>
  <c r="N37" i="11"/>
  <c r="M37" i="11"/>
  <c r="L37" i="11"/>
  <c r="K37" i="11"/>
  <c r="J37" i="11"/>
  <c r="I37" i="11"/>
  <c r="H37" i="11"/>
  <c r="G37" i="11"/>
  <c r="F37" i="11"/>
  <c r="E37" i="11"/>
  <c r="D37" i="11"/>
  <c r="C37" i="11"/>
  <c r="Q36" i="11"/>
  <c r="P36" i="11"/>
  <c r="O36" i="11"/>
  <c r="N36" i="11"/>
  <c r="M36" i="11"/>
  <c r="L36" i="11"/>
  <c r="K36" i="11"/>
  <c r="J36" i="11"/>
  <c r="I36" i="11"/>
  <c r="H36" i="11"/>
  <c r="G36" i="11"/>
  <c r="F36" i="11"/>
  <c r="E36" i="11"/>
  <c r="D36" i="11"/>
  <c r="C36" i="11"/>
  <c r="C66" i="11" s="1"/>
  <c r="Q35" i="11"/>
  <c r="P35" i="11"/>
  <c r="O35" i="11"/>
  <c r="N35" i="11"/>
  <c r="M35" i="11"/>
  <c r="L35" i="11"/>
  <c r="K35" i="11"/>
  <c r="J35" i="11"/>
  <c r="I35" i="11"/>
  <c r="H35" i="11"/>
  <c r="G35" i="11"/>
  <c r="F35" i="11"/>
  <c r="E35" i="11"/>
  <c r="D35" i="11"/>
  <c r="C35" i="11"/>
  <c r="C65" i="11" s="1"/>
  <c r="Q34" i="11"/>
  <c r="P34" i="11"/>
  <c r="O34" i="11"/>
  <c r="N34" i="11"/>
  <c r="M34" i="11"/>
  <c r="L34" i="11"/>
  <c r="K34" i="11"/>
  <c r="J34" i="11"/>
  <c r="I34" i="11"/>
  <c r="H34" i="11"/>
  <c r="G34" i="11"/>
  <c r="F34" i="11"/>
  <c r="E34" i="11"/>
  <c r="D34" i="11"/>
  <c r="C34" i="11"/>
  <c r="C64" i="11" s="1"/>
  <c r="Q33" i="11"/>
  <c r="P33" i="11"/>
  <c r="O33" i="11"/>
  <c r="N33" i="11"/>
  <c r="M33" i="11"/>
  <c r="L33" i="11"/>
  <c r="K33" i="11"/>
  <c r="J33" i="11"/>
  <c r="I33" i="11"/>
  <c r="H33" i="11"/>
  <c r="G33" i="11"/>
  <c r="F33" i="11"/>
  <c r="E33" i="11"/>
  <c r="D33" i="11"/>
  <c r="C33" i="11"/>
  <c r="Q32" i="11"/>
  <c r="P32" i="11"/>
  <c r="O32" i="11"/>
  <c r="N32" i="11"/>
  <c r="M32" i="11"/>
  <c r="L32" i="11"/>
  <c r="K32" i="11"/>
  <c r="J32" i="11"/>
  <c r="I32" i="11"/>
  <c r="H32" i="11"/>
  <c r="G32" i="11"/>
  <c r="F32" i="11"/>
  <c r="E32" i="11"/>
  <c r="D32" i="11"/>
  <c r="C32" i="11"/>
  <c r="C62" i="11" s="1"/>
  <c r="Q31" i="11"/>
  <c r="P31" i="11"/>
  <c r="O31" i="11"/>
  <c r="N31" i="11"/>
  <c r="M31" i="11"/>
  <c r="L31" i="11"/>
  <c r="K31" i="11"/>
  <c r="J31" i="11"/>
  <c r="I31" i="11"/>
  <c r="H31" i="11"/>
  <c r="G31" i="11"/>
  <c r="F31" i="11"/>
  <c r="E31" i="11"/>
  <c r="D31" i="11"/>
  <c r="C31" i="11"/>
  <c r="C61" i="11" s="1"/>
  <c r="Q30" i="11"/>
  <c r="P30" i="11"/>
  <c r="O30" i="11"/>
  <c r="N30" i="11"/>
  <c r="M30" i="11"/>
  <c r="L30" i="11"/>
  <c r="K30" i="11"/>
  <c r="J30" i="11"/>
  <c r="I30" i="11"/>
  <c r="H30" i="11"/>
  <c r="G30" i="11"/>
  <c r="F30" i="11"/>
  <c r="E30" i="11"/>
  <c r="D30" i="11"/>
  <c r="C30" i="11"/>
  <c r="C60" i="11" s="1"/>
  <c r="Q29" i="11"/>
  <c r="P29" i="11"/>
  <c r="O29" i="11"/>
  <c r="N29" i="11"/>
  <c r="M29" i="11"/>
  <c r="L29" i="11"/>
  <c r="K29" i="11"/>
  <c r="J29" i="11"/>
  <c r="I29" i="11"/>
  <c r="H29" i="11"/>
  <c r="G29" i="11"/>
  <c r="F29" i="11"/>
  <c r="E29" i="11"/>
  <c r="D29" i="11"/>
  <c r="C29" i="11"/>
  <c r="Q28" i="11"/>
  <c r="P28" i="11"/>
  <c r="O28" i="11"/>
  <c r="N28" i="11"/>
  <c r="M28" i="11"/>
  <c r="L28" i="11"/>
  <c r="K28" i="11"/>
  <c r="J28" i="11"/>
  <c r="I28" i="11"/>
  <c r="H28" i="11"/>
  <c r="G28" i="11"/>
  <c r="F28" i="11"/>
  <c r="E28" i="11"/>
  <c r="D28" i="11"/>
  <c r="C28" i="11"/>
  <c r="C58" i="11" s="1"/>
  <c r="Q27" i="11"/>
  <c r="P27" i="11"/>
  <c r="O27" i="11"/>
  <c r="N27" i="11"/>
  <c r="M27" i="11"/>
  <c r="L27" i="11"/>
  <c r="K27" i="11"/>
  <c r="J27" i="11"/>
  <c r="I27" i="11"/>
  <c r="H27" i="11"/>
  <c r="G27" i="11"/>
  <c r="F27" i="11"/>
  <c r="E27" i="11"/>
  <c r="D27" i="11"/>
  <c r="C27" i="11"/>
  <c r="C57" i="11" s="1"/>
  <c r="Q26" i="11"/>
  <c r="P26" i="11"/>
  <c r="O26" i="11"/>
  <c r="N26" i="11"/>
  <c r="M26" i="11"/>
  <c r="L26" i="11"/>
  <c r="K26" i="11"/>
  <c r="J26" i="11"/>
  <c r="I26" i="11"/>
  <c r="H26" i="11"/>
  <c r="G26" i="11"/>
  <c r="F26" i="11"/>
  <c r="E26" i="11"/>
  <c r="D26" i="11"/>
  <c r="C26" i="11"/>
  <c r="C56" i="11" s="1"/>
  <c r="Q25" i="11"/>
  <c r="P25" i="11"/>
  <c r="O25" i="11"/>
  <c r="N25" i="11"/>
  <c r="M25" i="11"/>
  <c r="L25" i="11"/>
  <c r="K25" i="11"/>
  <c r="J25" i="11"/>
  <c r="I25" i="11"/>
  <c r="H25" i="11"/>
  <c r="G25" i="11"/>
  <c r="F25" i="11"/>
  <c r="E25" i="11"/>
  <c r="D25" i="11"/>
  <c r="C25" i="11"/>
  <c r="Q24" i="11"/>
  <c r="P24" i="11"/>
  <c r="O24" i="11"/>
  <c r="N24" i="11"/>
  <c r="M24" i="11"/>
  <c r="L24" i="11"/>
  <c r="K24" i="11"/>
  <c r="J24" i="11"/>
  <c r="I24" i="11"/>
  <c r="H24" i="11"/>
  <c r="G24" i="11"/>
  <c r="F24" i="11"/>
  <c r="E24" i="11"/>
  <c r="D24" i="11"/>
  <c r="C24" i="11"/>
  <c r="C54" i="11" s="1"/>
  <c r="Q23" i="11"/>
  <c r="P23" i="11"/>
  <c r="O23" i="11"/>
  <c r="N23" i="11"/>
  <c r="M23" i="11"/>
  <c r="L23" i="11"/>
  <c r="K23" i="11"/>
  <c r="J23" i="11"/>
  <c r="I23" i="11"/>
  <c r="H23" i="11"/>
  <c r="G23" i="11"/>
  <c r="F23" i="11"/>
  <c r="E23" i="11"/>
  <c r="D23" i="11"/>
  <c r="C23" i="11"/>
  <c r="C53" i="11" s="1"/>
  <c r="Q22" i="11"/>
  <c r="P22" i="11"/>
  <c r="O22" i="11"/>
  <c r="N22" i="11"/>
  <c r="M22" i="11"/>
  <c r="L22" i="11"/>
  <c r="K22" i="11"/>
  <c r="J22" i="11"/>
  <c r="I22" i="11"/>
  <c r="H22" i="11"/>
  <c r="G22" i="11"/>
  <c r="F22" i="11"/>
  <c r="E22" i="11"/>
  <c r="D22" i="11"/>
  <c r="C22" i="11"/>
  <c r="C52" i="11" s="1"/>
  <c r="Q21" i="11"/>
  <c r="P21" i="11"/>
  <c r="O21" i="11"/>
  <c r="N21" i="11"/>
  <c r="M21" i="11"/>
  <c r="L21" i="11"/>
  <c r="K21" i="11"/>
  <c r="J21" i="11"/>
  <c r="I21" i="11"/>
  <c r="H21" i="11"/>
  <c r="G21" i="11"/>
  <c r="F21" i="11"/>
  <c r="E21" i="11"/>
  <c r="D21" i="11"/>
  <c r="C21" i="11"/>
  <c r="Q20" i="11"/>
  <c r="P20" i="11"/>
  <c r="O20" i="11"/>
  <c r="N20" i="11"/>
  <c r="M20" i="11"/>
  <c r="L20" i="11"/>
  <c r="K20" i="11"/>
  <c r="J20" i="11"/>
  <c r="I20" i="11"/>
  <c r="H20" i="11"/>
  <c r="G20" i="11"/>
  <c r="F20" i="11"/>
  <c r="E20" i="11"/>
  <c r="D20" i="11"/>
  <c r="C20" i="11"/>
  <c r="C50" i="11" s="1"/>
  <c r="Q19" i="11"/>
  <c r="P19" i="11"/>
  <c r="O19" i="11"/>
  <c r="N19" i="11"/>
  <c r="M19" i="11"/>
  <c r="L19" i="11"/>
  <c r="K19" i="11"/>
  <c r="J19" i="11"/>
  <c r="I19" i="11"/>
  <c r="H19" i="11"/>
  <c r="G19" i="11"/>
  <c r="F19" i="11"/>
  <c r="E19" i="11"/>
  <c r="D19" i="11"/>
  <c r="C19" i="11"/>
  <c r="C49" i="11" s="1"/>
  <c r="Q18" i="11"/>
  <c r="P18" i="11"/>
  <c r="O18" i="11"/>
  <c r="N18" i="11"/>
  <c r="M18" i="11"/>
  <c r="L18" i="11"/>
  <c r="K18" i="11"/>
  <c r="J18" i="11"/>
  <c r="I18" i="11"/>
  <c r="H18" i="11"/>
  <c r="G18" i="11"/>
  <c r="F18" i="11"/>
  <c r="E18" i="11"/>
  <c r="D18" i="11"/>
  <c r="C18" i="11"/>
  <c r="C48" i="11" s="1"/>
  <c r="Q17" i="11"/>
  <c r="P17" i="11"/>
  <c r="O17" i="11"/>
  <c r="N17" i="11"/>
  <c r="M17" i="11"/>
  <c r="L17" i="11"/>
  <c r="K17" i="11"/>
  <c r="J17" i="11"/>
  <c r="I17" i="11"/>
  <c r="H17" i="11"/>
  <c r="G17" i="11"/>
  <c r="F17" i="11"/>
  <c r="E17" i="11"/>
  <c r="D17" i="11"/>
  <c r="C17" i="11"/>
  <c r="C47" i="11" s="1"/>
  <c r="Q16" i="11"/>
  <c r="P16" i="11"/>
  <c r="O16" i="11"/>
  <c r="N16" i="11"/>
  <c r="M16" i="11"/>
  <c r="L16" i="11"/>
  <c r="K16" i="11"/>
  <c r="J16" i="11"/>
  <c r="I16" i="11"/>
  <c r="H16" i="11"/>
  <c r="G16" i="11"/>
  <c r="F16" i="11"/>
  <c r="E16" i="11"/>
  <c r="D16" i="11"/>
  <c r="C16" i="11"/>
  <c r="C46" i="11" s="1"/>
  <c r="Q15" i="11"/>
  <c r="P15" i="11"/>
  <c r="O15" i="11"/>
  <c r="N15" i="11"/>
  <c r="M15" i="11"/>
  <c r="L15" i="11"/>
  <c r="K15" i="11"/>
  <c r="J15" i="11"/>
  <c r="I15" i="11"/>
  <c r="H15" i="11"/>
  <c r="G15" i="11"/>
  <c r="F15" i="11"/>
  <c r="E15" i="11"/>
  <c r="D15" i="11"/>
  <c r="C15" i="11"/>
  <c r="C45" i="11" s="1"/>
  <c r="Q14" i="11"/>
  <c r="P14" i="11"/>
  <c r="O14" i="11"/>
  <c r="N14" i="11"/>
  <c r="M14" i="11"/>
  <c r="L14" i="11"/>
  <c r="K14" i="11"/>
  <c r="J14" i="11"/>
  <c r="I14" i="11"/>
  <c r="H14" i="11"/>
  <c r="G14" i="11"/>
  <c r="F14" i="11"/>
  <c r="E14" i="11"/>
  <c r="D14" i="11"/>
  <c r="C14" i="11"/>
  <c r="C44" i="11" s="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M24" i="1"/>
  <c r="L24" i="1"/>
  <c r="J51" i="8"/>
  <c r="J50" i="8"/>
  <c r="J49" i="8"/>
  <c r="J48" i="8"/>
  <c r="J47" i="8"/>
  <c r="J46" i="8"/>
  <c r="J45" i="8"/>
  <c r="J44" i="8"/>
  <c r="J43" i="8"/>
  <c r="J42" i="8"/>
  <c r="J41" i="8"/>
  <c r="J40" i="8"/>
  <c r="J39" i="8"/>
  <c r="J38" i="8"/>
  <c r="J37" i="8"/>
  <c r="J36" i="8"/>
  <c r="J35" i="8"/>
  <c r="J34" i="8"/>
  <c r="J33" i="8"/>
  <c r="J32" i="8"/>
  <c r="J31" i="8"/>
  <c r="J30" i="8"/>
  <c r="J29" i="8"/>
  <c r="J28" i="8"/>
  <c r="J27" i="8"/>
  <c r="C79" i="11" l="1"/>
  <c r="J79" i="11" s="1"/>
  <c r="C91" i="11"/>
  <c r="J91" i="11" s="1"/>
  <c r="C95" i="11"/>
  <c r="J95" i="11" s="1"/>
  <c r="C94" i="11"/>
  <c r="G94" i="11" s="1"/>
  <c r="C83" i="11"/>
  <c r="J83" i="11" s="1"/>
  <c r="C98" i="11"/>
  <c r="G98" i="11" s="1"/>
  <c r="C75" i="11"/>
  <c r="K75" i="11" s="1"/>
  <c r="C87" i="11"/>
  <c r="J87" i="11" s="1"/>
  <c r="C51" i="11"/>
  <c r="C81" i="11"/>
  <c r="C55" i="11"/>
  <c r="C85" i="11"/>
  <c r="C59" i="11"/>
  <c r="C89" i="11"/>
  <c r="C63" i="11"/>
  <c r="C93" i="11"/>
  <c r="C67" i="11"/>
  <c r="C97" i="11"/>
  <c r="J75" i="11"/>
  <c r="F75" i="11"/>
  <c r="C77" i="11"/>
  <c r="G79" i="11"/>
  <c r="K83" i="11"/>
  <c r="G91" i="11"/>
  <c r="D79" i="11"/>
  <c r="H79" i="11"/>
  <c r="L79" i="11"/>
  <c r="D83" i="11"/>
  <c r="H87" i="11"/>
  <c r="L91" i="11"/>
  <c r="D95" i="11"/>
  <c r="F98" i="11"/>
  <c r="G83" i="11"/>
  <c r="C74" i="11"/>
  <c r="C76" i="11"/>
  <c r="C78" i="11"/>
  <c r="E79" i="11"/>
  <c r="I79" i="11"/>
  <c r="C80" i="11"/>
  <c r="C82" i="11"/>
  <c r="E83" i="11"/>
  <c r="C84" i="11"/>
  <c r="C86" i="11"/>
  <c r="C88" i="11"/>
  <c r="C90" i="11"/>
  <c r="E91" i="11"/>
  <c r="C92" i="11"/>
  <c r="I95" i="11"/>
  <c r="C96" i="11"/>
  <c r="K79" i="11"/>
  <c r="G87" i="11"/>
  <c r="F79" i="11"/>
  <c r="F91" i="11"/>
  <c r="D98" i="11"/>
  <c r="H98" i="11"/>
  <c r="O49" i="1"/>
  <c r="M49" i="1"/>
  <c r="D87" i="11" l="1"/>
  <c r="D75" i="11"/>
  <c r="F87" i="11"/>
  <c r="K98" i="11"/>
  <c r="I91" i="11"/>
  <c r="E87" i="11"/>
  <c r="J98" i="11"/>
  <c r="H91" i="11"/>
  <c r="H75" i="11"/>
  <c r="K94" i="11"/>
  <c r="K95" i="11"/>
  <c r="L75" i="11"/>
  <c r="F95" i="11"/>
  <c r="K91" i="11"/>
  <c r="H95" i="11"/>
  <c r="D91" i="11"/>
  <c r="G95" i="11"/>
  <c r="I75" i="11"/>
  <c r="L94" i="11"/>
  <c r="I94" i="11"/>
  <c r="E94" i="11"/>
  <c r="H94" i="11"/>
  <c r="F83" i="11"/>
  <c r="J94" i="11"/>
  <c r="L83" i="11"/>
  <c r="D94" i="11"/>
  <c r="E95" i="11"/>
  <c r="I87" i="11"/>
  <c r="I83" i="11"/>
  <c r="L95" i="11"/>
  <c r="F94" i="11"/>
  <c r="L87" i="11"/>
  <c r="H83" i="11"/>
  <c r="K87" i="11"/>
  <c r="G75" i="11"/>
  <c r="E75" i="11"/>
  <c r="L98" i="11"/>
  <c r="I98" i="11"/>
  <c r="E98" i="11"/>
  <c r="L96" i="11"/>
  <c r="H96" i="11"/>
  <c r="D96" i="11"/>
  <c r="K96" i="11"/>
  <c r="G96" i="11"/>
  <c r="J96" i="11"/>
  <c r="F96" i="11"/>
  <c r="I96" i="11"/>
  <c r="E96" i="11"/>
  <c r="L90" i="11"/>
  <c r="H90" i="11"/>
  <c r="D90" i="11"/>
  <c r="K90" i="11"/>
  <c r="G90" i="11"/>
  <c r="I90" i="11"/>
  <c r="J90" i="11"/>
  <c r="F90" i="11"/>
  <c r="E90" i="11"/>
  <c r="L86" i="11"/>
  <c r="H86" i="11"/>
  <c r="D86" i="11"/>
  <c r="E86" i="11"/>
  <c r="K86" i="11"/>
  <c r="G86" i="11"/>
  <c r="J86" i="11"/>
  <c r="F86" i="11"/>
  <c r="I86" i="11"/>
  <c r="L82" i="11"/>
  <c r="H82" i="11"/>
  <c r="D82" i="11"/>
  <c r="K82" i="11"/>
  <c r="G82" i="11"/>
  <c r="E82" i="11"/>
  <c r="J82" i="11"/>
  <c r="F82" i="11"/>
  <c r="I82" i="11"/>
  <c r="L78" i="11"/>
  <c r="H78" i="11"/>
  <c r="D78" i="11"/>
  <c r="I78" i="11"/>
  <c r="K78" i="11"/>
  <c r="G78" i="11"/>
  <c r="J78" i="11"/>
  <c r="F78" i="11"/>
  <c r="E78" i="11"/>
  <c r="J93" i="11"/>
  <c r="F93" i="11"/>
  <c r="K93" i="11"/>
  <c r="I93" i="11"/>
  <c r="E93" i="11"/>
  <c r="G93" i="11"/>
  <c r="L93" i="11"/>
  <c r="H93" i="11"/>
  <c r="D93" i="11"/>
  <c r="J85" i="11"/>
  <c r="F85" i="11"/>
  <c r="G85" i="11"/>
  <c r="I85" i="11"/>
  <c r="E85" i="11"/>
  <c r="L85" i="11"/>
  <c r="H85" i="11"/>
  <c r="D85" i="11"/>
  <c r="K85" i="11"/>
  <c r="L92" i="11"/>
  <c r="H92" i="11"/>
  <c r="D92" i="11"/>
  <c r="I92" i="11"/>
  <c r="K92" i="11"/>
  <c r="G92" i="11"/>
  <c r="J92" i="11"/>
  <c r="F92" i="11"/>
  <c r="E92" i="11"/>
  <c r="L88" i="11"/>
  <c r="H88" i="11"/>
  <c r="D88" i="11"/>
  <c r="I88" i="11"/>
  <c r="K88" i="11"/>
  <c r="G88" i="11"/>
  <c r="E88" i="11"/>
  <c r="J88" i="11"/>
  <c r="F88" i="11"/>
  <c r="L84" i="11"/>
  <c r="H84" i="11"/>
  <c r="D84" i="11"/>
  <c r="I84" i="11"/>
  <c r="E84" i="11"/>
  <c r="K84" i="11"/>
  <c r="G84" i="11"/>
  <c r="J84" i="11"/>
  <c r="F84" i="11"/>
  <c r="L80" i="11"/>
  <c r="H80" i="11"/>
  <c r="D80" i="11"/>
  <c r="K80" i="11"/>
  <c r="G80" i="11"/>
  <c r="E80" i="11"/>
  <c r="J80" i="11"/>
  <c r="F80" i="11"/>
  <c r="I80" i="11"/>
  <c r="L76" i="11"/>
  <c r="H76" i="11"/>
  <c r="D76" i="11"/>
  <c r="K76" i="11"/>
  <c r="G76" i="11"/>
  <c r="J76" i="11"/>
  <c r="F76" i="11"/>
  <c r="I76" i="11"/>
  <c r="E76" i="11"/>
  <c r="J77" i="11"/>
  <c r="F77" i="11"/>
  <c r="K77" i="11"/>
  <c r="I77" i="11"/>
  <c r="E77" i="11"/>
  <c r="L77" i="11"/>
  <c r="H77" i="11"/>
  <c r="D77" i="11"/>
  <c r="G77" i="11"/>
  <c r="L74" i="11"/>
  <c r="H74" i="11"/>
  <c r="D74" i="11"/>
  <c r="K74" i="11"/>
  <c r="G74" i="11"/>
  <c r="J74" i="11"/>
  <c r="F74" i="11"/>
  <c r="I74" i="11"/>
  <c r="E74" i="11"/>
  <c r="J97" i="11"/>
  <c r="F97" i="11"/>
  <c r="I97" i="11"/>
  <c r="E97" i="11"/>
  <c r="L97" i="11"/>
  <c r="H97" i="11"/>
  <c r="D97" i="11"/>
  <c r="K97" i="11"/>
  <c r="G97" i="11"/>
  <c r="J89" i="11"/>
  <c r="F89" i="11"/>
  <c r="I89" i="11"/>
  <c r="E89" i="11"/>
  <c r="G89" i="11"/>
  <c r="L89" i="11"/>
  <c r="H89" i="11"/>
  <c r="D89" i="11"/>
  <c r="K89" i="11"/>
  <c r="J81" i="11"/>
  <c r="F81" i="11"/>
  <c r="I81" i="11"/>
  <c r="E81" i="11"/>
  <c r="G81" i="11"/>
  <c r="L81" i="11"/>
  <c r="H81" i="11"/>
  <c r="D81" i="11"/>
  <c r="K81" i="11"/>
  <c r="O50" i="1"/>
  <c r="I99" i="11" l="1"/>
  <c r="I100" i="11" s="1"/>
  <c r="F99" i="11"/>
  <c r="F100" i="11" s="1"/>
  <c r="E99" i="11"/>
  <c r="E100" i="11" s="1"/>
  <c r="G99" i="11"/>
  <c r="G100" i="11" s="1"/>
  <c r="L99" i="11"/>
  <c r="L100" i="11" s="1"/>
  <c r="K99" i="11"/>
  <c r="K100" i="11" s="1"/>
  <c r="D99" i="11"/>
  <c r="D100" i="11" s="1"/>
  <c r="J99" i="11"/>
  <c r="J100" i="11" s="1"/>
  <c r="H99" i="11"/>
  <c r="H100" i="11" s="1"/>
  <c r="B2" i="7"/>
  <c r="B1" i="3" s="1"/>
  <c r="G106" i="11" l="1"/>
  <c r="G112" i="11" s="1"/>
  <c r="G105" i="11"/>
  <c r="G111" i="11" s="1"/>
  <c r="F105" i="11"/>
  <c r="F111" i="11" s="1"/>
  <c r="F106" i="11"/>
  <c r="F112" i="11" s="1"/>
  <c r="E105" i="11"/>
  <c r="E111" i="11" s="1"/>
  <c r="E106" i="11"/>
  <c r="E112" i="11" s="1"/>
  <c r="B1" i="5"/>
  <c r="B1" i="11"/>
  <c r="B1" i="8"/>
  <c r="B1" i="4"/>
  <c r="B1" i="1"/>
  <c r="B1" i="9"/>
  <c r="S18" i="8"/>
  <c r="O14" i="1" l="1"/>
  <c r="J10" i="7" l="1"/>
  <c r="M43" i="9" l="1"/>
  <c r="N43" i="9" s="1"/>
  <c r="H14" i="7"/>
  <c r="J7" i="11" l="1"/>
  <c r="N12" i="9" l="1"/>
  <c r="N16" i="9"/>
  <c r="G14" i="1" l="1"/>
  <c r="B3" i="11"/>
  <c r="M51" i="9"/>
  <c r="N39" i="9"/>
  <c r="B3" i="9"/>
  <c r="B3" i="8"/>
  <c r="B3" i="1"/>
  <c r="G11" i="1" l="1"/>
  <c r="G12" i="1"/>
  <c r="G13" i="1"/>
  <c r="G15" i="1" l="1"/>
  <c r="G16" i="1" s="1"/>
  <c r="G52" i="9" l="1"/>
  <c r="G43" i="9"/>
  <c r="G12" i="9"/>
  <c r="G17" i="9"/>
  <c r="G29" i="1"/>
  <c r="G25" i="1"/>
  <c r="J8" i="11" s="1"/>
  <c r="L8" i="11" s="1"/>
  <c r="G26" i="9"/>
  <c r="G39" i="9"/>
  <c r="G35" i="9"/>
  <c r="J9" i="11" l="1"/>
  <c r="L9" i="11" s="1"/>
  <c r="N9" i="11" s="1"/>
  <c r="N8" i="11"/>
  <c r="G67" i="11" l="1"/>
  <c r="I66" i="11"/>
  <c r="K65" i="11"/>
  <c r="E62" i="11"/>
  <c r="G59" i="11"/>
  <c r="I58" i="11"/>
  <c r="K57" i="11"/>
  <c r="G55" i="11"/>
  <c r="K67" i="11"/>
  <c r="E66" i="11"/>
  <c r="G65" i="11"/>
  <c r="K63" i="11"/>
  <c r="G63" i="11"/>
  <c r="I62" i="11"/>
  <c r="K61" i="11"/>
  <c r="G61" i="11"/>
  <c r="K59" i="11"/>
  <c r="E58" i="11"/>
  <c r="G57" i="11"/>
  <c r="K55" i="11"/>
  <c r="I54" i="11"/>
  <c r="G51" i="11"/>
  <c r="K49" i="11"/>
  <c r="I46" i="11"/>
  <c r="E54" i="11"/>
  <c r="G49" i="11"/>
  <c r="K47" i="11"/>
  <c r="E46" i="11"/>
  <c r="K53" i="11"/>
  <c r="I50" i="11"/>
  <c r="G47" i="11"/>
  <c r="K45" i="11"/>
  <c r="G53" i="11"/>
  <c r="K51" i="11"/>
  <c r="E50" i="11"/>
  <c r="G45" i="11"/>
  <c r="H46" i="11"/>
  <c r="F48" i="11"/>
  <c r="J50" i="11"/>
  <c r="E48" i="11"/>
  <c r="I51" i="11"/>
  <c r="J54" i="11"/>
  <c r="L56" i="11"/>
  <c r="E59" i="11"/>
  <c r="D62" i="11"/>
  <c r="I63" i="11"/>
  <c r="H66" i="11"/>
  <c r="F68" i="11"/>
  <c r="H45" i="11"/>
  <c r="L47" i="11"/>
  <c r="J49" i="11"/>
  <c r="G52" i="11"/>
  <c r="K54" i="11"/>
  <c r="D57" i="11"/>
  <c r="F59" i="11"/>
  <c r="H61" i="11"/>
  <c r="L63" i="11"/>
  <c r="J65" i="11"/>
  <c r="G68" i="11"/>
  <c r="J44" i="11"/>
  <c r="L46" i="11"/>
  <c r="E49" i="11"/>
  <c r="D52" i="11"/>
  <c r="I53" i="11"/>
  <c r="H56" i="11"/>
  <c r="F58" i="11"/>
  <c r="J60" i="11"/>
  <c r="L62" i="11"/>
  <c r="E65" i="11"/>
  <c r="D68" i="11"/>
  <c r="F45" i="11"/>
  <c r="H47" i="11"/>
  <c r="L49" i="11"/>
  <c r="J51" i="11"/>
  <c r="G54" i="11"/>
  <c r="E56" i="11"/>
  <c r="L57" i="11"/>
  <c r="J59" i="11"/>
  <c r="F61" i="11"/>
  <c r="H63" i="11"/>
  <c r="K64" i="11"/>
  <c r="D67" i="11"/>
  <c r="I68" i="11"/>
  <c r="F44" i="11"/>
  <c r="J46" i="11"/>
  <c r="L48" i="11"/>
  <c r="E51" i="11"/>
  <c r="I48" i="11"/>
  <c r="F52" i="11"/>
  <c r="E55" i="11"/>
  <c r="D58" i="11"/>
  <c r="I59" i="11"/>
  <c r="H62" i="11"/>
  <c r="F64" i="11"/>
  <c r="J66" i="11"/>
  <c r="L68" i="11"/>
  <c r="J45" i="11"/>
  <c r="G48" i="11"/>
  <c r="K50" i="11"/>
  <c r="D53" i="11"/>
  <c r="F55" i="11"/>
  <c r="H57" i="11"/>
  <c r="L59" i="11"/>
  <c r="J61" i="11"/>
  <c r="G64" i="11"/>
  <c r="K66" i="11"/>
  <c r="D54" i="11"/>
  <c r="E45" i="11"/>
  <c r="D48" i="11"/>
  <c r="I49" i="11"/>
  <c r="H52" i="11"/>
  <c r="F54" i="11"/>
  <c r="J56" i="11"/>
  <c r="L58" i="11"/>
  <c r="E61" i="11"/>
  <c r="D64" i="11"/>
  <c r="I65" i="11"/>
  <c r="H68" i="11"/>
  <c r="L45" i="11"/>
  <c r="J47" i="11"/>
  <c r="G50" i="11"/>
  <c r="I47" i="11"/>
  <c r="I44" i="11"/>
  <c r="H54" i="11"/>
  <c r="J58" i="11"/>
  <c r="E63" i="11"/>
  <c r="I67" i="11"/>
  <c r="F47" i="11"/>
  <c r="L51" i="11"/>
  <c r="G56" i="11"/>
  <c r="D61" i="11"/>
  <c r="H65" i="11"/>
  <c r="H44" i="11"/>
  <c r="J48" i="11"/>
  <c r="E53" i="11"/>
  <c r="I57" i="11"/>
  <c r="F62" i="11"/>
  <c r="L66" i="11"/>
  <c r="D47" i="11"/>
  <c r="H51" i="11"/>
  <c r="D55" i="11"/>
  <c r="K56" i="11"/>
  <c r="H59" i="11"/>
  <c r="L61" i="11"/>
  <c r="E64" i="11"/>
  <c r="G66" i="11"/>
  <c r="K68" i="11"/>
  <c r="L44" i="11"/>
  <c r="D50" i="11"/>
  <c r="E52" i="11"/>
  <c r="I55" i="11"/>
  <c r="F60" i="11"/>
  <c r="L64" i="11"/>
  <c r="G44" i="11"/>
  <c r="D49" i="11"/>
  <c r="H53" i="11"/>
  <c r="J57" i="11"/>
  <c r="K62" i="11"/>
  <c r="F67" i="11"/>
  <c r="I45" i="11"/>
  <c r="F50" i="11"/>
  <c r="L54" i="11"/>
  <c r="D60" i="11"/>
  <c r="H64" i="11"/>
  <c r="J68" i="11"/>
  <c r="K48" i="11"/>
  <c r="K52" i="11"/>
  <c r="H55" i="11"/>
  <c r="F57" i="11"/>
  <c r="E60" i="11"/>
  <c r="G62" i="11"/>
  <c r="I64" i="11"/>
  <c r="H67" i="11"/>
  <c r="D46" i="11"/>
  <c r="H50" i="11"/>
  <c r="I52" i="11"/>
  <c r="F56" i="11"/>
  <c r="L60" i="11"/>
  <c r="D66" i="11"/>
  <c r="D45" i="11"/>
  <c r="H49" i="11"/>
  <c r="J53" i="11"/>
  <c r="K58" i="11"/>
  <c r="F63" i="11"/>
  <c r="L67" i="11"/>
  <c r="F46" i="11"/>
  <c r="L50" i="11"/>
  <c r="D56" i="11"/>
  <c r="H60" i="11"/>
  <c r="J64" i="11"/>
  <c r="K44" i="11"/>
  <c r="F49" i="11"/>
  <c r="F53" i="11"/>
  <c r="J55" i="11"/>
  <c r="G58" i="11"/>
  <c r="I60" i="11"/>
  <c r="D63" i="11"/>
  <c r="F65" i="11"/>
  <c r="J67" i="11"/>
  <c r="E47" i="11"/>
  <c r="E44" i="11"/>
  <c r="L52" i="11"/>
  <c r="H58" i="11"/>
  <c r="J62" i="11"/>
  <c r="E67" i="11"/>
  <c r="K46" i="11"/>
  <c r="F51" i="11"/>
  <c r="L55" i="11"/>
  <c r="G60" i="11"/>
  <c r="D65" i="11"/>
  <c r="D44" i="11"/>
  <c r="H48" i="11"/>
  <c r="J52" i="11"/>
  <c r="E57" i="11"/>
  <c r="I61" i="11"/>
  <c r="F66" i="11"/>
  <c r="G46" i="11"/>
  <c r="D51" i="11"/>
  <c r="L53" i="11"/>
  <c r="I56" i="11"/>
  <c r="D59" i="11"/>
  <c r="K60" i="11"/>
  <c r="J63" i="11"/>
  <c r="L65" i="11"/>
  <c r="E68" i="11"/>
  <c r="I14" i="7" l="1"/>
  <c r="K14" i="7"/>
  <c r="J14" i="7"/>
</calcChain>
</file>

<file path=xl/comments1.xml><?xml version="1.0" encoding="utf-8"?>
<comments xmlns="http://schemas.openxmlformats.org/spreadsheetml/2006/main">
  <authors>
    <author>Debbie Pickering</author>
  </authors>
  <commentList>
    <comment ref="H6" authorId="0">
      <text>
        <r>
          <rPr>
            <b/>
            <sz val="9"/>
            <color indexed="81"/>
            <rFont val="Tahoma"/>
            <family val="2"/>
          </rPr>
          <t>Debbie Pickering:</t>
        </r>
        <r>
          <rPr>
            <sz val="9"/>
            <color indexed="81"/>
            <rFont val="Tahoma"/>
            <family val="2"/>
          </rPr>
          <t xml:space="preserve">
Do we still need this? If so, how to populate it?</t>
        </r>
      </text>
    </comment>
    <comment ref="I6" authorId="0">
      <text>
        <r>
          <rPr>
            <b/>
            <sz val="9"/>
            <color indexed="81"/>
            <rFont val="Tahoma"/>
            <family val="2"/>
          </rPr>
          <t>Debbie Pickering:</t>
        </r>
        <r>
          <rPr>
            <sz val="9"/>
            <color indexed="81"/>
            <rFont val="Tahoma"/>
            <family val="2"/>
          </rPr>
          <t xml:space="preserve">
This column will be dropped once we cross-walk with Rule Name as needed</t>
        </r>
      </text>
    </comment>
  </commentList>
</comments>
</file>

<file path=xl/sharedStrings.xml><?xml version="1.0" encoding="utf-8"?>
<sst xmlns="http://schemas.openxmlformats.org/spreadsheetml/2006/main" count="561" uniqueCount="410">
  <si>
    <t>Water Quality</t>
  </si>
  <si>
    <t>Enter 1 for yes. Enter 0 for no.</t>
  </si>
  <si>
    <t>Species Composition</t>
  </si>
  <si>
    <t>References</t>
  </si>
  <si>
    <t>Landscape Context</t>
  </si>
  <si>
    <t>WQ1</t>
  </si>
  <si>
    <t>LC1</t>
  </si>
  <si>
    <t>HF1</t>
  </si>
  <si>
    <t>HF3</t>
  </si>
  <si>
    <t>Data Confidence Rating</t>
  </si>
  <si>
    <t>RULE CODE</t>
  </si>
  <si>
    <t>Steelhead</t>
  </si>
  <si>
    <t>Coho Salmon</t>
  </si>
  <si>
    <t>Chinook Salmon</t>
  </si>
  <si>
    <t>Yes</t>
  </si>
  <si>
    <t>No</t>
  </si>
  <si>
    <t>Fully Blocked</t>
  </si>
  <si>
    <t>Checkbox</t>
  </si>
  <si>
    <t>X</t>
  </si>
  <si>
    <t>Answer</t>
  </si>
  <si>
    <t>Passage Status</t>
  </si>
  <si>
    <t>http://www.dfw.state.or.us/wildlife/diversity/species/sensitive_species.asp</t>
  </si>
  <si>
    <t>DSL Essential Salmon Habitat</t>
  </si>
  <si>
    <t xml:space="preserve">ODFW State Sensitive Species list    </t>
  </si>
  <si>
    <t>http://www.dfw.state.or.us/wildlife/diversity/species/threatened_endangered_candidate_list.asp</t>
  </si>
  <si>
    <t>Threatened, Endangered, and Candidate Fish and Wildlife Species</t>
  </si>
  <si>
    <t>Species</t>
  </si>
  <si>
    <t>State Status</t>
  </si>
  <si>
    <t>Federal Status</t>
  </si>
  <si>
    <t>E</t>
  </si>
  <si>
    <t>T</t>
  </si>
  <si>
    <t>Lower Columbia River Coho Salmon</t>
  </si>
  <si>
    <t>Oregon Coast Coho Salmon</t>
  </si>
  <si>
    <t>WQ2</t>
  </si>
  <si>
    <t>% class 1: late seral vegetation, including old growth and mature second growth riparian forests</t>
  </si>
  <si>
    <t>SC2</t>
  </si>
  <si>
    <t>Abstract</t>
  </si>
  <si>
    <t xml:space="preserve">Habrate: A Limiting Factors Model for Assessing Stream Habitat Quality </t>
  </si>
  <si>
    <t>Jennifer L. Burke, Kim K. Jones, and Jeffrey M. Dambacher
Oregon Department of Fish and Wildlife, Conservation and Recovery, Aquatic Inventories Program
28655 Highway 34, Corvallis, OR  97333
(541) 757-4263</t>
  </si>
  <si>
    <t xml:space="preserve">     Fishery managers are commonly tasked with the basic question “Will the contemporary habitat above a barrier support the fish populations that historically resided in the watershed?” Managers in central Oregon were confronted with that question in an effort to reestablish fish populations in 375 kilometers of stream above the Round Butte-Pelton Dam complex (Rkm 161) on the Deschutes River.  Stream surveys had been conducted in most of the available stream habitat, but had not been synthesized in a form that allowed managers to view the quality and complexity of stream habitat in an easily-understandable fashion.  In response, we developed a limiting factors model (HabRate) that assessed the potential quality of stream habitat using stream survey data for each juvenile life stage of salmon and steelhead.  The model was developed for a specific application to the middle Deschutes River basin in Oregon, but was intended for general application to Pacific Northwest basins.  To paramatize the model, we summarized available literature on salmonid habitat requirements.  Habitat criteria  were developed for discrete life history stages (i.e. spawning, egg survival, emergence, summer rearing, and winter rearing) and used to rate the quality of stream reaches as poor, fair, or good, based on attributes relating to stream substrate, habitat unit type, cover, gradient, temperature, and flow.  Reach level summaries of stream habitat data were entered into MS Excel, and interpreted by a series of algorithms to provide a limiting factor assessment of potential egg-to-fry and fry-to-parr survival for each reach.  Model output lists habitat quality by species and life stage for each reach of stream.  The model is a decision making tool that is intended  to provide a qualitative assessment of the habitat potential of stream reaches within a basin context.  Design criteria for the model were simplicity, flexibility, and transparency.  While HabRate was based on our interpretations of the published literature, specific criteria for habitat quality were structured to be easily adjusted where interpretations differ from ours.  Information not common to standard stream survey designs, such as seasonal flow or temperature extremes can be included as input from professional judgment.  The results were integrated into a GIS coverage coupled with the stream network and habitat data to provide a comprehensive map-based perspective of habitat quality in a watershed.  </t>
  </si>
  <si>
    <t>Citation: Burke, J. L, K. K. Jones, and J. M. Dambacher.  2010.  Habrate: A Limiting Factors Model for Assessing Stream Habitat Quality for Salmon and Steelhead in the Deschutes River Basin.  Information Report 2010-03, Oregon Department of Fish and Wildlife, Corvallis.</t>
  </si>
  <si>
    <t>%</t>
  </si>
  <si>
    <t>References Cited:</t>
  </si>
  <si>
    <r>
      <rPr>
        <b/>
        <sz val="11"/>
        <color theme="1"/>
        <rFont val="Calibri"/>
        <family val="2"/>
        <scheme val="minor"/>
      </rPr>
      <t>Burke, J. L, K. K. Jones, and J. M. Dambacher.  2010.</t>
    </r>
    <r>
      <rPr>
        <sz val="11"/>
        <color theme="1"/>
        <rFont val="Calibri"/>
        <family val="2"/>
        <scheme val="minor"/>
      </rPr>
      <t xml:space="preserve">  Habrate: A Limiting Factors Model for Assessing Stream Habitat Quality for Salmon and Steelhead in the Deschutes River Basin.  Information Report 2010-03, Oregon Department of Fish and Wildlife, Corvallis.</t>
    </r>
  </si>
  <si>
    <r>
      <rPr>
        <b/>
        <sz val="11"/>
        <color theme="1"/>
        <rFont val="Calibri"/>
        <family val="2"/>
        <scheme val="minor"/>
      </rPr>
      <t>Foster, S.C, C.H. Stein, and K.K. Jones. 2001.</t>
    </r>
    <r>
      <rPr>
        <sz val="11"/>
        <color theme="1"/>
        <rFont val="Calibri"/>
        <family val="2"/>
        <scheme val="minor"/>
      </rPr>
      <t xml:space="preserve"> A Guide To Interpreting Stream Survey Reports. Aquatic Inventories Project, Natural Production Program, Oregon Department of Fish And Wildlife. Portland, Oregon.</t>
    </r>
  </si>
  <si>
    <r>
      <rPr>
        <b/>
        <sz val="11"/>
        <color theme="1"/>
        <rFont val="Calibri"/>
        <family val="2"/>
        <scheme val="minor"/>
      </rPr>
      <t>Loffink, K. 2013.</t>
    </r>
    <r>
      <rPr>
        <sz val="11"/>
        <color theme="1"/>
        <rFont val="Calibri"/>
        <family val="2"/>
        <scheme val="minor"/>
      </rPr>
      <t xml:space="preserve"> Fish Passage Priority List. Oregon Department of Fish and Wildlife Fish Screening and Passage Program. Salem, Oregon.</t>
    </r>
  </si>
  <si>
    <r>
      <rPr>
        <b/>
        <sz val="11"/>
        <color theme="1"/>
        <rFont val="Calibri"/>
        <family val="2"/>
        <scheme val="minor"/>
      </rPr>
      <t>Maher, M., M.B. Sheer, E.A. Steel, and P. McElhany. 2005.</t>
    </r>
    <r>
      <rPr>
        <sz val="11"/>
        <color theme="1"/>
        <rFont val="Calibri"/>
        <family val="2"/>
        <scheme val="minor"/>
      </rPr>
      <t xml:space="preserve"> Atlas of Salmon and Steelhead Habitat in the Oregon Lower Columbia and Willamette Basins. NOAA Fisheries Northwest Fisheries Science Center, Seattle, Washington.</t>
    </r>
  </si>
  <si>
    <t>http://oregonstate.edu/inr/ilap</t>
  </si>
  <si>
    <t>Integrated Landscape Assessment Project</t>
  </si>
  <si>
    <r>
      <rPr>
        <b/>
        <sz val="11"/>
        <color theme="1"/>
        <rFont val="Calibri"/>
        <family val="2"/>
        <scheme val="minor"/>
      </rPr>
      <t>Martin, E. H. and Apse, C.D. 2013.</t>
    </r>
    <r>
      <rPr>
        <sz val="11"/>
        <color theme="1"/>
        <rFont val="Calibri"/>
        <family val="2"/>
        <scheme val="minor"/>
      </rPr>
      <t xml:space="preserve"> Chesapeake Fish Passage Prioritization: An Assessment of Dams in the Chesapeake Bay Watershed. The Nature Conservancy, Eastern Division Conservation Science. http://maps.tnc.org/erof_ChesapeakeFPP </t>
    </r>
  </si>
  <si>
    <r>
      <rPr>
        <b/>
        <sz val="11"/>
        <color theme="1"/>
        <rFont val="Calibri"/>
        <family val="2"/>
        <scheme val="minor"/>
      </rPr>
      <t>U.S. Department of Agriculture and U.S. Department of Interior (USDA and USDI). 2005.</t>
    </r>
    <r>
      <rPr>
        <sz val="11"/>
        <color theme="1"/>
        <rFont val="Calibri"/>
        <family val="2"/>
        <scheme val="minor"/>
      </rPr>
      <t xml:space="preserve"> Northwest Forest Plan Aquatic Conservation Strategy; The Implementation of the Northwest Forest Plan Aquatic Conservation Strategy on BLM and FS-administered lands within the Oregon Coastal Coho ESU. Submitted to State of Oregon, Oregon Plan for Salmon and Watersheds Assessment Team, Salem, Oregon.</t>
    </r>
  </si>
  <si>
    <t xml:space="preserve"> If &lt;0.25 crossings/mi, select A. If 0.25-1 crossings/mi, select B. If &gt;1 crossing/mi, select C.</t>
  </si>
  <si>
    <t>If &lt;20%, select A, if 20-40%, select B, if &gt;40%, select C</t>
  </si>
  <si>
    <t>WC4</t>
  </si>
  <si>
    <t>AREMP 2005</t>
  </si>
  <si>
    <t>C</t>
  </si>
  <si>
    <t>Name of Project Site:</t>
  </si>
  <si>
    <t>Date Field Assessed:</t>
  </si>
  <si>
    <t>Data Collector:</t>
  </si>
  <si>
    <t>Project Number:</t>
  </si>
  <si>
    <t>%Pass</t>
  </si>
  <si>
    <t>NNSpec</t>
  </si>
  <si>
    <t>%FuncRip</t>
  </si>
  <si>
    <t>Entrench</t>
  </si>
  <si>
    <t>DEQ303d</t>
  </si>
  <si>
    <t>%AgNLCD</t>
  </si>
  <si>
    <t>RoadDens</t>
  </si>
  <si>
    <t>%Protect</t>
  </si>
  <si>
    <t>StrmXDen</t>
  </si>
  <si>
    <t>HabArea</t>
  </si>
  <si>
    <t>TotMiles</t>
  </si>
  <si>
    <t>%ProtRip</t>
  </si>
  <si>
    <t xml:space="preserve">What percent of the historical floodplain area has been excluded from overbank or tidal inundation? </t>
  </si>
  <si>
    <t>Floodpln</t>
  </si>
  <si>
    <t>If &lt;10%, select A. If 10 - 20%, select B. If 21 - 50%, select C. If &gt;50%, select D.</t>
  </si>
  <si>
    <t xml:space="preserve">http://www.oregon.gov/dsl/PERMITS/Pages/esshabitat.aspx </t>
  </si>
  <si>
    <t>Date:</t>
  </si>
  <si>
    <t>Field Assessor:</t>
  </si>
  <si>
    <t>Miles of habitat data above the barrier</t>
  </si>
  <si>
    <t>Miles</t>
  </si>
  <si>
    <t>Data entry cells</t>
  </si>
  <si>
    <t>Landscape-Level Connectivity</t>
  </si>
  <si>
    <t>Floodplain Interaction</t>
  </si>
  <si>
    <t>Riparian Condition</t>
  </si>
  <si>
    <t>%Hdata</t>
  </si>
  <si>
    <t>% class 2: mid seral vegetation, including maturing second and third growth riparian forests</t>
  </si>
  <si>
    <t>If &gt; 50%, select A, if 25-50%, select B, if &lt; 25%, enter C</t>
  </si>
  <si>
    <r>
      <rPr>
        <b/>
        <sz val="10"/>
        <color theme="1"/>
        <rFont val="Calibri"/>
        <family val="2"/>
        <scheme val="minor"/>
      </rPr>
      <t xml:space="preserve">Code 1 Protected &amp; Preservation: </t>
    </r>
    <r>
      <rPr>
        <sz val="10"/>
        <color theme="1"/>
        <rFont val="Calibri"/>
        <family val="2"/>
        <scheme val="minor"/>
      </rPr>
      <t>The first management category (Code 1) is used to encompass areas that are legally dedicated to protection and preservation of the characteristic of natural landscape (Wilderness, Congressional Reserve, National Parks). Additionally it contains slightly less restrictive managemnt and may allow for more adjustments in management practices (Regional conservation reserves/preserves, Late Successional Reserves, Wilderness Study Areas, Visual Resource Management Class 1).</t>
    </r>
  </si>
  <si>
    <r>
      <rPr>
        <b/>
        <sz val="10"/>
        <color theme="1"/>
        <rFont val="Calibri"/>
        <family val="2"/>
        <scheme val="minor"/>
      </rPr>
      <t xml:space="preserve">Code 3 Retention: </t>
    </r>
    <r>
      <rPr>
        <sz val="10"/>
        <color theme="1"/>
        <rFont val="Calibri"/>
        <family val="2"/>
        <scheme val="minor"/>
      </rPr>
      <t xml:space="preserve">Code 3 has more of an emphasis on retention of forested areas or native vegetation for a variety of reasons such as the conservation of endangered species or for maintaining forested corridors along areas of visual or biological importance (Municipal Watersheds, Corridors for visual/riparian/biodiversity, Endangered/threatened species management, Other values of importance, Private conservation areas, Wildlife Refuges, Visual Resource Management Class 2).  </t>
    </r>
  </si>
  <si>
    <r>
      <rPr>
        <b/>
        <sz val="10"/>
        <color theme="1"/>
        <rFont val="Calibri"/>
        <family val="2"/>
        <scheme val="minor"/>
      </rPr>
      <t xml:space="preserve">Code 4 Partial Retention: </t>
    </r>
    <r>
      <rPr>
        <sz val="10"/>
        <color theme="1"/>
        <rFont val="Calibri"/>
        <family val="2"/>
        <scheme val="minor"/>
      </rPr>
      <t xml:space="preserve">Code 4 is based mainly on partial-retention with the potential for longer rotations or more experimental management strategies (Partial retention, Adaptive Management Areas, Experimental Forests, Other wildlife areas , Primitive recreation usage, Visual Resource Management Class 3). </t>
    </r>
  </si>
  <si>
    <r>
      <rPr>
        <b/>
        <sz val="10"/>
        <color theme="1"/>
        <rFont val="Calibri"/>
        <family val="2"/>
        <scheme val="minor"/>
      </rPr>
      <t xml:space="preserve">Code 5 Modification: </t>
    </r>
    <r>
      <rPr>
        <sz val="10"/>
        <color theme="1"/>
        <rFont val="Calibri"/>
        <family val="2"/>
        <scheme val="minor"/>
      </rPr>
      <t xml:space="preserve">Code 5 is associated with major modification of the landscape and includes general forestry, developed recreation (off road vehicle use, ski areas), mining, or grazing on public land (General forestry w/ habitat modification, NWFP Matrix, Developed recreation, Visual Resource Management Class 4). </t>
    </r>
  </si>
  <si>
    <r>
      <rPr>
        <b/>
        <sz val="10"/>
        <color theme="1"/>
        <rFont val="Calibri"/>
        <family val="2"/>
        <scheme val="minor"/>
      </rPr>
      <t xml:space="preserve">Code 6 Modification Private: </t>
    </r>
    <r>
      <rPr>
        <sz val="10"/>
        <color theme="1"/>
        <rFont val="Calibri"/>
        <family val="2"/>
        <scheme val="minor"/>
      </rPr>
      <t xml:space="preserve">Code 6 is specific to privately owned lands which may be less restrictive than public lands may or may not remain committed towards natural resource management over time.  </t>
    </r>
  </si>
  <si>
    <t>T&amp;E Fish species (OR, Fed status)</t>
  </si>
  <si>
    <r>
      <rPr>
        <b/>
        <sz val="11"/>
        <color theme="1"/>
        <rFont val="Calibri"/>
        <family val="2"/>
        <scheme val="minor"/>
      </rPr>
      <t>Aquatic and Riparian Effectiveness Monitoring Program (AREMP) Staff. 2005.</t>
    </r>
    <r>
      <rPr>
        <sz val="11"/>
        <color theme="1"/>
        <rFont val="Calibri"/>
        <family val="2"/>
        <scheme val="minor"/>
      </rPr>
      <t xml:space="preserve"> Watershed Monitoring for the Northwest Forest Plan, Data Summary Interpretation 2005, Oregon/Washington Coast Province. USDA Forest Service, Pacific Northwest Regional Office; Bureau of Land Management, Oregon State Office; 4077 S.W. Research Way, Corvallis, OR 97333. http://www.reo.gov/monitoring/watershed </t>
    </r>
  </si>
  <si>
    <r>
      <rPr>
        <b/>
        <sz val="11"/>
        <color theme="1"/>
        <rFont val="Calibri"/>
        <family val="2"/>
        <scheme val="minor"/>
      </rPr>
      <t>Aquatic Inventory Attributes used in the HabRate Calculations:</t>
    </r>
    <r>
      <rPr>
        <sz val="11"/>
        <color theme="1"/>
        <rFont val="Calibri"/>
        <family val="2"/>
        <scheme val="minor"/>
      </rPr>
      <t xml:space="preserve"> % gradient, unit width, active channel width, floodprone width, % pools, scour pool depth, riffle depth, large boulders/100m, % fines, % gravel, % cobble, % boulder, pieces of large wooody debris (LWD)/100m, % undercut, residual pool depth, average pieces LWD in pools, average keypieces LWD in pools, and average % sheltered pools</t>
    </r>
  </si>
  <si>
    <t xml:space="preserve"> If &gt;50%, select A. If 35-50%, select B. If 15-34%, select C. If &lt;15%, select D. If not known, leave blank.</t>
  </si>
  <si>
    <t>Category</t>
  </si>
  <si>
    <t>Weight</t>
  </si>
  <si>
    <t>Composite Indicator Description</t>
  </si>
  <si>
    <t>Instream habitat</t>
  </si>
  <si>
    <t>Instream</t>
  </si>
  <si>
    <t>Supporting Landscape Context</t>
  </si>
  <si>
    <t>Riparian and Floodplain Interactions</t>
  </si>
  <si>
    <t>Reach</t>
  </si>
  <si>
    <t>CH_SE</t>
  </si>
  <si>
    <t>CH_S0</t>
  </si>
  <si>
    <t>CH_W0</t>
  </si>
  <si>
    <t>ST_SE</t>
  </si>
  <si>
    <t>ST_S0</t>
  </si>
  <si>
    <t>ST_W0</t>
  </si>
  <si>
    <t>CO_SE</t>
  </si>
  <si>
    <t>CO_S0</t>
  </si>
  <si>
    <t>CO_W0</t>
  </si>
  <si>
    <t>Landscape</t>
  </si>
  <si>
    <t>Nearstream</t>
  </si>
  <si>
    <t>Trace</t>
  </si>
  <si>
    <t>Somewhat</t>
  </si>
  <si>
    <t>Significant</t>
  </si>
  <si>
    <t>HabRate Results</t>
  </si>
  <si>
    <t>Year</t>
  </si>
  <si>
    <t>0-29%</t>
  </si>
  <si>
    <t>30-69%</t>
  </si>
  <si>
    <t>70-100%</t>
  </si>
  <si>
    <t>% Range</t>
  </si>
  <si>
    <t>SubScore</t>
  </si>
  <si>
    <t>Flooplain</t>
  </si>
  <si>
    <t>A: &lt; 10%</t>
  </si>
  <si>
    <t>B: 25-50%</t>
  </si>
  <si>
    <t>B: 10-20%</t>
  </si>
  <si>
    <t>C: 21-50%</t>
  </si>
  <si>
    <t>D: &gt;50%</t>
  </si>
  <si>
    <t>Road- StreamCrossings</t>
  </si>
  <si>
    <t>A: &lt; 0.25 crossings/mi</t>
  </si>
  <si>
    <t>B: 0.25-1 crossings/mi</t>
  </si>
  <si>
    <t>C: &gt;1 crossings/mi</t>
  </si>
  <si>
    <t>Contributing Area</t>
  </si>
  <si>
    <t>Road Density</t>
  </si>
  <si>
    <t>A: &lt; 20%</t>
  </si>
  <si>
    <t>A: &gt;50%</t>
  </si>
  <si>
    <t>B: 20-40%</t>
  </si>
  <si>
    <t>B: 35-50%</t>
  </si>
  <si>
    <t>C: &gt;40%</t>
  </si>
  <si>
    <t>D: &lt;15%</t>
  </si>
  <si>
    <t>Score (%)</t>
  </si>
  <si>
    <t>C: &lt;25%</t>
  </si>
  <si>
    <t>Not applicable</t>
  </si>
  <si>
    <t>Score:</t>
  </si>
  <si>
    <t xml:space="preserve">Score: </t>
  </si>
  <si>
    <t xml:space="preserve">Score:  </t>
  </si>
  <si>
    <t>RULE: Composite % to Composite Subscore</t>
  </si>
  <si>
    <t>Dropdown lists used in calculator and Rules applied in formulas</t>
  </si>
  <si>
    <t>LANDSCAPE INDICATORS</t>
  </si>
  <si>
    <t>C:  15-34%</t>
  </si>
  <si>
    <t>Non-native Species</t>
  </si>
  <si>
    <t>Do not enter data below.  Data will automatically transfer from the indicators worksheets.</t>
  </si>
  <si>
    <t>ST_S1</t>
  </si>
  <si>
    <t>ST_W2</t>
  </si>
  <si>
    <t>Composite Habitat Quality X Quantity by Reach</t>
  </si>
  <si>
    <t>ST_WO</t>
  </si>
  <si>
    <t>Do not modify</t>
  </si>
  <si>
    <t>% class 3: early seral vegetation, including a mix of young coniferous and/or primarily deciduous vegetation types, plus ‘other forested’ lands, clear cuts, brush, young deciduous forest</t>
  </si>
  <si>
    <t>Proportion of Functional Riparian Area
Equation: %Class1 + (% Class 2*0.92) + (% Class 3 * 0.66)+(% Class 4*0.04)</t>
  </si>
  <si>
    <t>Cell Count</t>
  </si>
  <si>
    <t>Total</t>
  </si>
  <si>
    <t>Count of cells in each class in the Riparian Buffer</t>
  </si>
  <si>
    <t>Entrench Ratio</t>
  </si>
  <si>
    <t>Cell Counts</t>
  </si>
  <si>
    <t>Linear Trans (miles)</t>
  </si>
  <si>
    <t>Density</t>
  </si>
  <si>
    <t>Number of Crossings</t>
  </si>
  <si>
    <t>*Exclude a crossing at the current site</t>
  </si>
  <si>
    <t>Chinook, spawning and emergence</t>
  </si>
  <si>
    <t>Steelhead, spawning and emergence</t>
  </si>
  <si>
    <t>Coho, spawning and emergence</t>
  </si>
  <si>
    <t>Composite Subscore</t>
  </si>
  <si>
    <t>Composite Name</t>
  </si>
  <si>
    <t>Modifier for passage status at site:</t>
  </si>
  <si>
    <t>Eq: ((HabRate rating*Instream_Weight + Nearstream*Nearstream_Weight + Landscape *Landscape_Weight)/ (Instream_Weight +Nearstream_Weight +Landscape_Weight))</t>
  </si>
  <si>
    <t>Totals (acres)</t>
  </si>
  <si>
    <t>Chinook, summer rearing 0+</t>
  </si>
  <si>
    <t>Chinook, winter rearing 0+</t>
  </si>
  <si>
    <t>Steelhead, summer rearing 0+</t>
  </si>
  <si>
    <t>Steelhead, winter rearing 0+</t>
  </si>
  <si>
    <t>Steelhead, summer rearing 1+</t>
  </si>
  <si>
    <t>Steelhead, winter rearing 1+</t>
  </si>
  <si>
    <t>Coho, summer rearing 0+</t>
  </si>
  <si>
    <t>Coho, winter rearing 0+</t>
  </si>
  <si>
    <t xml:space="preserve">http://oregonstate.edu/dept/ODFW/freshwater/inventory/habratereg.htm </t>
  </si>
  <si>
    <t>Oregon Coast Fall Chinook Salmon</t>
  </si>
  <si>
    <t>Oregon Coast Spring Chinook Salmon</t>
  </si>
  <si>
    <t>Oregon Coast Chum Salmon</t>
  </si>
  <si>
    <t>Oregon Coast Summer Steelhead</t>
  </si>
  <si>
    <t>Oregon Coast Winter Steelhead</t>
  </si>
  <si>
    <t xml:space="preserve">Lower Columbia River Summer Steelhead </t>
  </si>
  <si>
    <t xml:space="preserve">Lower Columbia River Winter Steelhead </t>
  </si>
  <si>
    <t>Lower Columbia River Fall Chinook Salmon</t>
  </si>
  <si>
    <t>Lower Columbia River Chum Salmon</t>
  </si>
  <si>
    <t>Oregon Coast Cutthroat Trout</t>
  </si>
  <si>
    <t>Lower Columbia Coastal Cutthroat Trout</t>
  </si>
  <si>
    <t>Oregon Pacific Lamprey</t>
  </si>
  <si>
    <t>V</t>
  </si>
  <si>
    <t>Oregon Western Brook Lamprey</t>
  </si>
  <si>
    <t>Presence Status</t>
  </si>
  <si>
    <t>Current</t>
  </si>
  <si>
    <t>Historic</t>
  </si>
  <si>
    <t>Distribution</t>
  </si>
  <si>
    <t>Above Barrier</t>
  </si>
  <si>
    <t>At/Below Barrier</t>
  </si>
  <si>
    <t>Prot (Value=2)</t>
  </si>
  <si>
    <t>Notes about Riparian Condition (including sources documentation)</t>
  </si>
  <si>
    <t>Notes about Floodplain Interaction (including sources documentation)</t>
  </si>
  <si>
    <t>Notes about Connectivity (including sources documentation)</t>
  </si>
  <si>
    <t>Notes about Water Quality (including sources documentation)</t>
  </si>
  <si>
    <t>Notes about Species Composition (including sources documentation)</t>
  </si>
  <si>
    <t>Notes about Landscape Context (including sources documentation)</t>
  </si>
  <si>
    <t>Notes about Habitat (including sources documentation)</t>
  </si>
  <si>
    <t>Fill in the cells in orange throughout the spreadsheet.   The cells in grey are calculated with formulas.</t>
  </si>
  <si>
    <t>Fish Passage Credit Calculator</t>
  </si>
  <si>
    <t>Species Present</t>
  </si>
  <si>
    <t>Habitat Survey Details</t>
  </si>
  <si>
    <t>Indicator References</t>
  </si>
  <si>
    <t>Indicator</t>
  </si>
  <si>
    <t>Burke et al 2010; Foster et al 2001; Previous NBAs</t>
  </si>
  <si>
    <t>Total Miles</t>
  </si>
  <si>
    <t>Protection:</t>
  </si>
  <si>
    <t>Agriculture land use:</t>
  </si>
  <si>
    <t>Road density:</t>
  </si>
  <si>
    <t>Crossing :</t>
  </si>
  <si>
    <t>Functional Riparian:</t>
  </si>
  <si>
    <t>Entrench:</t>
  </si>
  <si>
    <t>Is fish passage fully blocked or partially blocked by the subject barrier?  Passage status is used to adjust the overall site score.</t>
  </si>
  <si>
    <t>Rule</t>
  </si>
  <si>
    <t>Channel Area</t>
  </si>
  <si>
    <t>PRICHNAREA
(Primary)</t>
  </si>
  <si>
    <t>SECCHNAREA (Secondary)</t>
  </si>
  <si>
    <t>Other species:</t>
  </si>
  <si>
    <t>See details below</t>
  </si>
  <si>
    <t>Other 
(Value = 1)</t>
  </si>
  <si>
    <t>Pasture/Hay (Value 81)</t>
  </si>
  <si>
    <t>Size of Contributing Area</t>
  </si>
  <si>
    <t>Cultivated Crops 
(Value 82)</t>
  </si>
  <si>
    <t>Composite Value</t>
  </si>
  <si>
    <t>Instream-HabRate Attributes (Duplicated from Instream-HabRate table)</t>
  </si>
  <si>
    <t>Cover Page</t>
  </si>
  <si>
    <t xml:space="preserve">Nonindigenous Aquatic Species Program </t>
  </si>
  <si>
    <t>http://nas.er.usgs.gov/</t>
  </si>
  <si>
    <t xml:space="preserve">http://chetco-new.dsl.state.or.us/esh/index.html </t>
  </si>
  <si>
    <t>Glossary of Terms</t>
  </si>
  <si>
    <r>
      <t xml:space="preserve">Latitude:
</t>
    </r>
    <r>
      <rPr>
        <sz val="12"/>
        <color indexed="8"/>
        <rFont val="Calibri"/>
        <family val="2"/>
        <scheme val="minor"/>
      </rPr>
      <t>(At the project barrier)</t>
    </r>
  </si>
  <si>
    <r>
      <t xml:space="preserve">Longitude:
</t>
    </r>
    <r>
      <rPr>
        <sz val="12"/>
        <color indexed="8"/>
        <rFont val="Calibri"/>
        <family val="2"/>
        <scheme val="minor"/>
      </rPr>
      <t>(At the project barrier)</t>
    </r>
  </si>
  <si>
    <r>
      <rPr>
        <b/>
        <sz val="12"/>
        <color theme="1"/>
        <rFont val="Calibri"/>
        <family val="2"/>
        <scheme val="minor"/>
      </rPr>
      <t>Barrier at Project Site</t>
    </r>
    <r>
      <rPr>
        <sz val="12"/>
        <color theme="1"/>
        <rFont val="Calibri"/>
        <family val="2"/>
        <scheme val="minor"/>
      </rPr>
      <t>:  Is the barrier identified as a priority on the ODFW Fish Passage Priority List or in another barrier prioritization process (include those done by local watershed councils)? If so, provide the name of the prioritization and the barrier name &amp;/or number.  Priority barriers are not likely to be granted waivers, but for mitigation sites would rank higher.</t>
    </r>
  </si>
  <si>
    <r>
      <rPr>
        <b/>
        <sz val="12"/>
        <color theme="1"/>
        <rFont val="Calibri"/>
        <family val="2"/>
        <scheme val="minor"/>
      </rPr>
      <t>Downstream Barriers:</t>
    </r>
    <r>
      <rPr>
        <sz val="12"/>
        <color theme="1"/>
        <rFont val="Calibri"/>
        <family val="2"/>
        <scheme val="minor"/>
      </rPr>
      <t xml:space="preserve"> Is there an artificial or natural barrier downstream which fully blocks fish passage? Provide the source used to determine this: GIS database, personal communications, or actual field survey. Resident fish populations will still be considered at sites above a full passage barrier.</t>
    </r>
  </si>
  <si>
    <r>
      <t xml:space="preserve">Documentation: </t>
    </r>
    <r>
      <rPr>
        <sz val="12"/>
        <color theme="1"/>
        <rFont val="Calibri"/>
        <family val="2"/>
        <scheme val="minor"/>
      </rPr>
      <t xml:space="preserve">Use this area to add any comments pertaining to the attributes on this tab. </t>
    </r>
  </si>
  <si>
    <r>
      <t>Notes about Passage Status:</t>
    </r>
    <r>
      <rPr>
        <sz val="12"/>
        <color theme="1"/>
        <rFont val="Calibri"/>
        <family val="2"/>
        <scheme val="minor"/>
      </rPr>
      <t xml:space="preserve"> Include documentation of source of answer</t>
    </r>
  </si>
  <si>
    <r>
      <t>Area (m</t>
    </r>
    <r>
      <rPr>
        <vertAlign val="superscript"/>
        <sz val="12"/>
        <color theme="1"/>
        <rFont val="Calibri"/>
        <family val="2"/>
        <scheme val="minor"/>
      </rPr>
      <t>2</t>
    </r>
    <r>
      <rPr>
        <sz val="12"/>
        <color theme="1"/>
        <rFont val="Calibri"/>
        <family val="2"/>
        <scheme val="minor"/>
      </rPr>
      <t>)</t>
    </r>
  </si>
  <si>
    <r>
      <t xml:space="preserve">How much of the contributing area is under agricultural land use? </t>
    </r>
    <r>
      <rPr>
        <sz val="12"/>
        <color indexed="8"/>
        <rFont val="Calibri"/>
        <family val="2"/>
        <scheme val="minor"/>
      </rPr>
      <t>Use the National Land Cover Database (NLCD) 2006 Land Cover Classification to calculate percent of contributing area above project barrier in the ‘Pasture/Hay’ OR ‘Cultivate Crops’ categories.</t>
    </r>
  </si>
  <si>
    <r>
      <rPr>
        <b/>
        <u/>
        <sz val="12"/>
        <rFont val="Calibri"/>
        <family val="2"/>
        <scheme val="minor"/>
      </rPr>
      <t>What is the density of roads &amp; railroads in the contributing area</t>
    </r>
    <r>
      <rPr>
        <b/>
        <sz val="12"/>
        <rFont val="Calibri"/>
        <family val="2"/>
        <scheme val="minor"/>
      </rPr>
      <t xml:space="preserve">? </t>
    </r>
  </si>
  <si>
    <r>
      <t xml:space="preserve"> If &lt;1 mi/mi</t>
    </r>
    <r>
      <rPr>
        <vertAlign val="superscript"/>
        <sz val="12"/>
        <color indexed="8"/>
        <rFont val="Calibri"/>
        <family val="2"/>
        <scheme val="minor"/>
      </rPr>
      <t>2</t>
    </r>
    <r>
      <rPr>
        <sz val="12"/>
        <color indexed="8"/>
        <rFont val="Calibri"/>
        <family val="2"/>
        <scheme val="minor"/>
      </rPr>
      <t>, select A. If 1-2.4 mi/mi</t>
    </r>
    <r>
      <rPr>
        <vertAlign val="superscript"/>
        <sz val="12"/>
        <color indexed="8"/>
        <rFont val="Calibri"/>
        <family val="2"/>
        <scheme val="minor"/>
      </rPr>
      <t>2</t>
    </r>
    <r>
      <rPr>
        <sz val="12"/>
        <color indexed="8"/>
        <rFont val="Calibri"/>
        <family val="2"/>
        <scheme val="minor"/>
      </rPr>
      <t>, select B. If &gt;2.4 mi/mi</t>
    </r>
    <r>
      <rPr>
        <vertAlign val="superscript"/>
        <sz val="12"/>
        <color indexed="8"/>
        <rFont val="Calibri"/>
        <family val="2"/>
        <scheme val="minor"/>
      </rPr>
      <t>2</t>
    </r>
    <r>
      <rPr>
        <sz val="12"/>
        <color indexed="8"/>
        <rFont val="Calibri"/>
        <family val="2"/>
        <scheme val="minor"/>
      </rPr>
      <t>, select C.</t>
    </r>
  </si>
  <si>
    <r>
      <t>Contributing area (miles</t>
    </r>
    <r>
      <rPr>
        <vertAlign val="superscript"/>
        <sz val="12"/>
        <color theme="1"/>
        <rFont val="Calibri"/>
        <family val="2"/>
        <scheme val="minor"/>
      </rPr>
      <t>2</t>
    </r>
    <r>
      <rPr>
        <sz val="12"/>
        <color theme="1"/>
        <rFont val="Calibri"/>
        <family val="2"/>
        <scheme val="minor"/>
      </rPr>
      <t>)</t>
    </r>
  </si>
  <si>
    <t>Partially Blocked: Adult &amp; Juv.</t>
  </si>
  <si>
    <t>Max Value for each species</t>
  </si>
  <si>
    <t>Minimum Value for each species</t>
  </si>
  <si>
    <t>Credits if a Mitigation Site</t>
  </si>
  <si>
    <t>Debits if an Impact Site</t>
  </si>
  <si>
    <r>
      <rPr>
        <b/>
        <sz val="12"/>
        <color theme="1"/>
        <rFont val="Calibri"/>
        <family val="2"/>
        <scheme val="minor"/>
      </rPr>
      <t>Instream Habitat Quality</t>
    </r>
    <r>
      <rPr>
        <sz val="12"/>
        <color theme="1"/>
        <rFont val="Calibri"/>
        <family val="2"/>
        <scheme val="minor"/>
      </rPr>
      <t>: HabRate for each species and life stage</t>
    </r>
  </si>
  <si>
    <r>
      <rPr>
        <b/>
        <sz val="12"/>
        <color theme="1"/>
        <rFont val="Calibri"/>
        <family val="2"/>
        <scheme val="minor"/>
      </rPr>
      <t>Nearstream Composite Score</t>
    </r>
    <r>
      <rPr>
        <sz val="12"/>
        <color theme="1"/>
        <rFont val="Calibri"/>
        <family val="2"/>
        <scheme val="minor"/>
      </rPr>
      <t>:   AVERAGE(%FuncRip,Entrench,Floodplain)</t>
    </r>
  </si>
  <si>
    <r>
      <rPr>
        <b/>
        <sz val="12"/>
        <color theme="1"/>
        <rFont val="Calibri"/>
        <family val="2"/>
        <scheme val="minor"/>
      </rPr>
      <t>Supporting Landscape Composite Score</t>
    </r>
    <r>
      <rPr>
        <sz val="12"/>
        <color theme="1"/>
        <rFont val="Calibri"/>
        <family val="2"/>
        <scheme val="minor"/>
      </rPr>
      <t>:   AVERAGE((Max(%Protect,%ProtRip), StrmXDen, Av(RoadDens,%AgNLCD,DEQ303d),NNSpec)</t>
    </r>
  </si>
  <si>
    <r>
      <t>Area (m</t>
    </r>
    <r>
      <rPr>
        <b/>
        <vertAlign val="superscript"/>
        <sz val="12"/>
        <color theme="1"/>
        <rFont val="Calibri"/>
        <family val="2"/>
        <scheme val="minor"/>
      </rPr>
      <t>2</t>
    </r>
    <r>
      <rPr>
        <b/>
        <sz val="12"/>
        <color theme="1"/>
        <rFont val="Calibri"/>
        <family val="2"/>
        <scheme val="minor"/>
      </rPr>
      <t>)</t>
    </r>
  </si>
  <si>
    <r>
      <t>Totals (m</t>
    </r>
    <r>
      <rPr>
        <vertAlign val="superscript"/>
        <sz val="12"/>
        <color theme="1"/>
        <rFont val="Calibri"/>
        <family val="2"/>
        <scheme val="minor"/>
      </rPr>
      <t>2</t>
    </r>
    <r>
      <rPr>
        <sz val="12"/>
        <color theme="1"/>
        <rFont val="Calibri"/>
        <family val="2"/>
        <scheme val="minor"/>
      </rPr>
      <t>)</t>
    </r>
  </si>
  <si>
    <t>ST_S*</t>
  </si>
  <si>
    <t>ST_W*</t>
  </si>
  <si>
    <t>* ST_S and ST_W are averages of ST_S0 and ST_S1, and ST_W0 and ST_W2, respectively.</t>
  </si>
  <si>
    <t>Percent Agriculture</t>
  </si>
  <si>
    <t>Percent Protected</t>
  </si>
  <si>
    <t>DEQ 303(d)</t>
  </si>
  <si>
    <t>FLOODPLAIN INDICATORS</t>
  </si>
  <si>
    <t>Percent of Credits</t>
  </si>
  <si>
    <t>FOR LOOKUP (Must be sorted)</t>
  </si>
  <si>
    <t>Modifier*</t>
  </si>
  <si>
    <t>Essential Habitat Designation</t>
  </si>
  <si>
    <t>* Fully blocked, 100% of credits; Partially blocked: adult &amp; juvenile, 80% of credits; Partially blocked: juvenile only, 60% of credits</t>
  </si>
  <si>
    <t>Partially Blocked: Juveniles Only</t>
  </si>
  <si>
    <t>Miles of Potential Fish Use Above the Barrier:</t>
  </si>
  <si>
    <r>
      <rPr>
        <b/>
        <u/>
        <sz val="12"/>
        <rFont val="Calibri"/>
        <family val="2"/>
        <scheme val="minor"/>
      </rPr>
      <t xml:space="preserve">What percent of the total miles available for fish use above the barrier has suitable fish habitat data available? </t>
    </r>
    <r>
      <rPr>
        <sz val="12"/>
        <rFont val="Calibri"/>
        <family val="2"/>
        <scheme val="minor"/>
      </rPr>
      <t xml:space="preserve">
Determine the percentage of the “TotMiles” indicator entered above for which suitable in-stream habitat survey data is available.  Only include data meeting acceptability standards defined in the protocol document. Contact ODFW Corvallis Research Lab to request habitat ratings based on ODFW surveys done previously in any portion of the TotMiles entered above. Enter data in “HabArea” indicator below.</t>
    </r>
  </si>
  <si>
    <r>
      <rPr>
        <b/>
        <u/>
        <sz val="12"/>
        <rFont val="Calibri"/>
        <family val="2"/>
        <scheme val="minor"/>
      </rPr>
      <t>What is the current status of fish passage at the site?</t>
    </r>
    <r>
      <rPr>
        <b/>
        <sz val="12"/>
        <rFont val="Calibri"/>
        <family val="2"/>
        <scheme val="minor"/>
      </rPr>
      <t xml:space="preserve">
</t>
    </r>
    <r>
      <rPr>
        <sz val="12"/>
        <rFont val="Calibri"/>
        <family val="2"/>
        <scheme val="minor"/>
      </rPr>
      <t>A fully blocked barrier is one which prevents passage of all native migratory fish during all life stages and all flow conditions. A partially blocked barrier blocks passage of at least one native fish species at one life stage or during certain stream conditions.</t>
    </r>
  </si>
  <si>
    <r>
      <t xml:space="preserve">What are the total </t>
    </r>
    <r>
      <rPr>
        <b/>
        <u/>
        <sz val="12"/>
        <rFont val="Calibri"/>
        <family val="2"/>
        <scheme val="minor"/>
      </rPr>
      <t>miles of potential fish use</t>
    </r>
    <r>
      <rPr>
        <b/>
        <u/>
        <sz val="12"/>
        <color indexed="8"/>
        <rFont val="Calibri"/>
        <family val="2"/>
        <scheme val="minor"/>
      </rPr>
      <t xml:space="preserve"> above the current barrier? 
</t>
    </r>
    <r>
      <rPr>
        <sz val="12"/>
        <color indexed="8"/>
        <rFont val="Calibri"/>
        <family val="2"/>
        <scheme val="minor"/>
      </rPr>
      <t>Calculate the total potential fish use stream length (including secondary channels and tributaries) above the barrier according to the ODF Fish Presence database.</t>
    </r>
  </si>
  <si>
    <t>Miles of potential fish use above the current barrier</t>
  </si>
  <si>
    <t>If the percent of upstream fish use length for which habitat data is available is less than 80%, then gather necessary field data according to protocols. Then recalculate %Hdata including the new field data and run the HabRate model with the additional data before proceeding.</t>
  </si>
  <si>
    <r>
      <t>What is the habitat quality and total area (meters</t>
    </r>
    <r>
      <rPr>
        <b/>
        <u/>
        <vertAlign val="superscript"/>
        <sz val="12"/>
        <color indexed="8"/>
        <rFont val="Calibri"/>
        <family val="2"/>
        <scheme val="minor"/>
      </rPr>
      <t>2</t>
    </r>
    <r>
      <rPr>
        <b/>
        <u/>
        <sz val="12"/>
        <color indexed="8"/>
        <rFont val="Calibri"/>
        <family val="2"/>
        <scheme val="minor"/>
      </rPr>
      <t xml:space="preserve">) available for different life stages and species of native migratory fish above the current barrier? 
</t>
    </r>
    <r>
      <rPr>
        <sz val="12"/>
        <color indexed="8"/>
        <rFont val="Calibri"/>
        <family val="2"/>
        <scheme val="minor"/>
      </rPr>
      <t>Enter the stream area of reaches above the barrier and the associated habitat quality ratings from HabRate. Stream area is defined as bankfull width</t>
    </r>
    <r>
      <rPr>
        <sz val="12"/>
        <rFont val="Calibri"/>
        <family val="2"/>
        <scheme val="minor"/>
      </rPr>
      <t xml:space="preserve"> (i.e</t>
    </r>
    <r>
      <rPr>
        <sz val="12"/>
        <color indexed="8"/>
        <rFont val="Calibri"/>
        <family val="2"/>
        <scheme val="minor"/>
      </rPr>
      <t>. active channel width measured at the ordinary high water mark) times length of primary and secondary channels.</t>
    </r>
  </si>
  <si>
    <r>
      <rPr>
        <b/>
        <u/>
        <sz val="12"/>
        <color indexed="8"/>
        <rFont val="Calibri"/>
        <family val="2"/>
        <scheme val="minor"/>
      </rPr>
      <t>What is the percentage of functional riparian area along fish use streams above the current barrier</t>
    </r>
    <r>
      <rPr>
        <b/>
        <sz val="12"/>
        <color indexed="8"/>
        <rFont val="Calibri"/>
        <family val="2"/>
        <scheme val="minor"/>
      </rPr>
      <t xml:space="preserve">? </t>
    </r>
    <r>
      <rPr>
        <sz val="12"/>
        <color indexed="8"/>
        <rFont val="Calibri"/>
        <family val="2"/>
        <scheme val="minor"/>
      </rPr>
      <t>The proportion of each forest seral class in the riparian buffer (300' on either side of the stream) is used to determine functional riparian area.</t>
    </r>
  </si>
  <si>
    <t>Buffered Stream Network</t>
  </si>
  <si>
    <r>
      <rPr>
        <b/>
        <u/>
        <sz val="12"/>
        <color indexed="8"/>
        <rFont val="Calibri"/>
        <family val="2"/>
        <scheme val="minor"/>
      </rPr>
      <t xml:space="preserve">To what extent do non-native aquatic animal species pose a threat to native fish? </t>
    </r>
    <r>
      <rPr>
        <sz val="12"/>
        <rFont val="Calibri"/>
        <family val="2"/>
        <scheme val="minor"/>
      </rPr>
      <t>Presence of individuals of observed or likely reproducing population of non-native aquatic animal species (vertebrate or invertebrate) within the fish-use stream length that are likely to significantly threaten native fish. From spatial database of known presence (see References tab) &amp;/or consult with local ODFW District Biologist.</t>
    </r>
  </si>
  <si>
    <r>
      <t xml:space="preserve">What is the density of road &amp; railroad stream crossings in the upstream network? </t>
    </r>
    <r>
      <rPr>
        <sz val="12"/>
        <color indexed="8"/>
        <rFont val="Calibri"/>
        <family val="2"/>
        <scheme val="minor"/>
      </rPr>
      <t xml:space="preserve">Number of road/railroad and hydrography intersections above the project site divided by the total upstream length. </t>
    </r>
  </si>
  <si>
    <t>Credits/Debits: Discounted for passage status at site</t>
  </si>
  <si>
    <t>GIS Inputs Worksheets</t>
  </si>
  <si>
    <t>Net Benefits by Species: Quality-Adjusted Acres</t>
  </si>
  <si>
    <t>COVER PAGE</t>
  </si>
  <si>
    <t>Project Type</t>
  </si>
  <si>
    <t>Impact</t>
  </si>
  <si>
    <t>Mitigation</t>
  </si>
  <si>
    <t>Debit</t>
  </si>
  <si>
    <t>Credit</t>
  </si>
  <si>
    <t>Count Type</t>
  </si>
  <si>
    <t>Project Type:</t>
  </si>
  <si>
    <r>
      <t>A: &lt;1 mi/mi</t>
    </r>
    <r>
      <rPr>
        <vertAlign val="superscript"/>
        <sz val="12"/>
        <color theme="1"/>
        <rFont val="Calibri"/>
        <family val="2"/>
        <scheme val="minor"/>
      </rPr>
      <t>2</t>
    </r>
  </si>
  <si>
    <r>
      <t>B: 1-2.4 mi/mi</t>
    </r>
    <r>
      <rPr>
        <vertAlign val="superscript"/>
        <sz val="12"/>
        <color theme="1"/>
        <rFont val="Calibri"/>
        <family val="2"/>
        <scheme val="minor"/>
      </rPr>
      <t>2</t>
    </r>
  </si>
  <si>
    <r>
      <t>C: &gt;2.4 mi/mi</t>
    </r>
    <r>
      <rPr>
        <vertAlign val="superscript"/>
        <sz val="12"/>
        <color theme="1"/>
        <rFont val="Calibri"/>
        <family val="2"/>
        <scheme val="minor"/>
      </rPr>
      <t>2</t>
    </r>
  </si>
  <si>
    <t>Contributing Area Cell Count</t>
  </si>
  <si>
    <t>INSTREAM INDICATORS</t>
  </si>
  <si>
    <t>Length (miles) of Upstream Network</t>
  </si>
  <si>
    <t>General Instructions for using this  Calculator</t>
  </si>
  <si>
    <t>Consult the associated GIS Interface User's Manual for instructions on using GIS data for inputs to the calculator</t>
  </si>
  <si>
    <t>After each section of indicators, there is a notes field.  Use this area to add any comments pertaining to the indicators.  Describe the data sources used to complete the forms, including references' author names and dates as appropriate.  Include persons and/or agencies that provided information.  List GIS data sources referenced for the project site, including a description of how complete the data is considered to be for the project area.  Provide a brief description of data collected in the field and a reference to the complete survey data.  For all sources indicate the recentness of the information (if known).</t>
  </si>
  <si>
    <t>Contents:</t>
  </si>
  <si>
    <t>Contains general information about a site.</t>
  </si>
  <si>
    <t>Instream-HabRate</t>
  </si>
  <si>
    <t xml:space="preserve">Contains HabRate ratings for each stream reach upstream of a barrier by species and lifestage. </t>
  </si>
  <si>
    <t>Riparian &amp; Floodplain</t>
  </si>
  <si>
    <t>Contains indicators that describe a stream’s riparian condition and interaction with its floodplain.</t>
  </si>
  <si>
    <t>Supporting landscape</t>
  </si>
  <si>
    <t>Contains indicators that describe landscape level effects on fish habitat.</t>
  </si>
  <si>
    <t>Credit Calculations</t>
  </si>
  <si>
    <t>Takes data from 3 previous tabs to calculate Credits/Debits as quality-adjusted acres of fish habitat</t>
  </si>
  <si>
    <t>References and websites utilized in development of the indicators and as potential data sources</t>
  </si>
  <si>
    <t>HabRate Summary</t>
  </si>
  <si>
    <t>Abstract of the HabRate model and attributes used in its calculations</t>
  </si>
  <si>
    <t>Dropdown Lists</t>
  </si>
  <si>
    <t>Look-up tables used by the calculator for dropdown lists entries</t>
  </si>
  <si>
    <t>Active Channel Width</t>
  </si>
  <si>
    <t>means the stream width between the ordinary high water lines, or at the channel bankfull elevation if the ordinary high water lines are indeterminate.</t>
  </si>
  <si>
    <t>Bankfull elevation</t>
  </si>
  <si>
    <t>means the point on a stream bank at which overflow into a floodplain begins.</t>
  </si>
  <si>
    <t>Bankfull Width</t>
  </si>
  <si>
    <t>is the active channel width measured at the ordinary high water mark.</t>
  </si>
  <si>
    <t>Buffered Upstream Network</t>
  </si>
  <si>
    <t>all the streams above the project barrier along with a riparian buffer zone extending 300’ on each side of the stream.</t>
  </si>
  <si>
    <t>contributing watershed, or total upstream watershed, defined by the total upstream drainage area above the subject barrier.</t>
  </si>
  <si>
    <t>Entrenchment Ratio</t>
  </si>
  <si>
    <t>defined as the flood prone width divided by the bankfull or active channel width.</t>
  </si>
  <si>
    <t>Fish-Use Stream Length</t>
  </si>
  <si>
    <t>Flood Prone Area</t>
  </si>
  <si>
    <t>defined by measuring the width of the channel at twice bankfull depth (AREMP 2005).</t>
  </si>
  <si>
    <t>Functional Riparian Area</t>
  </si>
  <si>
    <t>the area of fish-use streams along with a riparian zone extending 300’ on each side of the stream that is assessed for its degree of functionality based on forest seral class and associated riparian function modifiers (Maher et al. 2005; Beamer et al. 2000).</t>
  </si>
  <si>
    <t>HabRate</t>
  </si>
  <si>
    <t>a model developed to assess the potential quality of stream habitat using stream survey data for each juvenile life stage of salmon and steelhead (Burke et al. 2010).</t>
  </si>
  <si>
    <t>Riparian Buffer</t>
  </si>
  <si>
    <t>as defined in the NW Forest Plan Aquatic Conservation Strategy buffer for fish-bearing streams (USDA &amp; USDI 2005) which is 300' slope distance (600' total, including both sides of the stream channel).</t>
  </si>
  <si>
    <t xml:space="preserve">Ordinary high water line (OHWL) </t>
  </si>
  <si>
    <t>means the line on the bank or shore to which the high water ordinarily rises annually in season. (see OAR 141-085-0010 for physical characteristics that can be used to determine the OHWL in the field.)</t>
  </si>
  <si>
    <t>Project Barrier</t>
  </si>
  <si>
    <t>the culvert or other type of barrier that is being evaluated in the Fish Passage Credit Calculator either as a waiver request or a potential mitigation site.</t>
  </si>
  <si>
    <t>Stream Area</t>
  </si>
  <si>
    <t>is defined as bankfull width times length of primary and secondary channels.</t>
  </si>
  <si>
    <t>Upstream Network</t>
  </si>
  <si>
    <t>all streams above the project barrier as identified on the National Hydrography Dataset (1:24,000 scale) irrespective of stream size or fish presence.</t>
  </si>
  <si>
    <r>
      <t xml:space="preserve">Project Description: </t>
    </r>
    <r>
      <rPr>
        <sz val="12"/>
        <color indexed="8"/>
        <rFont val="Calibri"/>
        <family val="2"/>
        <scheme val="minor"/>
      </rPr>
      <t>Provide a general description of where the project is located, type of barrier, etc.</t>
    </r>
  </si>
  <si>
    <r>
      <rPr>
        <b/>
        <sz val="12"/>
        <color theme="1"/>
        <rFont val="Calibri"/>
        <family val="2"/>
        <scheme val="minor"/>
      </rPr>
      <t>Additional Habitat Designation</t>
    </r>
    <r>
      <rPr>
        <sz val="12"/>
        <color theme="1"/>
        <rFont val="Calibri"/>
        <family val="2"/>
        <scheme val="minor"/>
      </rPr>
      <t>: Has a special habitat designation (other than Oregon Department of State Lands (DSL) Essential Salmonid Habitat) been identified for any species in the project fish-use stream length?</t>
    </r>
  </si>
  <si>
    <r>
      <rPr>
        <b/>
        <sz val="12"/>
        <color theme="1"/>
        <rFont val="Calibri"/>
        <family val="2"/>
        <scheme val="minor"/>
      </rPr>
      <t>Potential Restoration:</t>
    </r>
    <r>
      <rPr>
        <sz val="12"/>
        <color theme="1"/>
        <rFont val="Calibri"/>
        <family val="2"/>
        <scheme val="minor"/>
      </rPr>
      <t xml:space="preserve"> Are any agencies or organizations currently planning restoration projects within the fish-use stream length of the project site?</t>
    </r>
  </si>
  <si>
    <r>
      <rPr>
        <b/>
        <sz val="12"/>
        <color theme="1"/>
        <rFont val="Calibri"/>
        <family val="2"/>
        <scheme val="minor"/>
      </rPr>
      <t>Land ownership:</t>
    </r>
    <r>
      <rPr>
        <sz val="12"/>
        <color theme="1"/>
        <rFont val="Calibri"/>
        <family val="2"/>
        <scheme val="minor"/>
      </rPr>
      <t xml:space="preserve"> Describe the land ownership at the project barrier and contributing area.  Ownership patterns will not affect the credit calculation, and are for informational purposes only.</t>
    </r>
  </si>
  <si>
    <t>Other 
(Value=1)</t>
  </si>
  <si>
    <t>Prot 
(Value =2)</t>
  </si>
  <si>
    <r>
      <rPr>
        <b/>
        <u/>
        <sz val="12"/>
        <color indexed="8"/>
        <rFont val="Calibri"/>
        <family val="2"/>
        <scheme val="minor"/>
      </rPr>
      <t>What percentage of the</t>
    </r>
    <r>
      <rPr>
        <b/>
        <i/>
        <u/>
        <sz val="12"/>
        <color indexed="8"/>
        <rFont val="Calibri"/>
        <family val="2"/>
        <scheme val="minor"/>
      </rPr>
      <t xml:space="preserve"> contributing area</t>
    </r>
    <r>
      <rPr>
        <b/>
        <u/>
        <sz val="12"/>
        <color indexed="8"/>
        <rFont val="Calibri"/>
        <family val="2"/>
        <scheme val="minor"/>
      </rPr>
      <t xml:space="preserve"> is allocated to management categories of Protection, Preservation, or Retention</t>
    </r>
    <r>
      <rPr>
        <b/>
        <sz val="12"/>
        <color indexed="8"/>
        <rFont val="Calibri"/>
        <family val="2"/>
        <scheme val="minor"/>
      </rPr>
      <t>?</t>
    </r>
    <r>
      <rPr>
        <sz val="12"/>
        <color indexed="8"/>
        <rFont val="Calibri"/>
        <family val="2"/>
        <scheme val="minor"/>
      </rPr>
      <t xml:space="preserve"> Use Integrated Landscape Assessment Project (ILAP) database to calculate percent of contributing area above project barrier in these categories. </t>
    </r>
  </si>
  <si>
    <r>
      <t>What percentage of the</t>
    </r>
    <r>
      <rPr>
        <b/>
        <i/>
        <u/>
        <sz val="12"/>
        <color indexed="8"/>
        <rFont val="Calibri"/>
        <family val="2"/>
        <scheme val="minor"/>
      </rPr>
      <t xml:space="preserve"> buffered upstream network</t>
    </r>
    <r>
      <rPr>
        <b/>
        <u/>
        <sz val="12"/>
        <color indexed="8"/>
        <rFont val="Calibri"/>
        <family val="2"/>
        <scheme val="minor"/>
      </rPr>
      <t xml:space="preserve"> is allocated to management categories of Protection, Preservation, or Retention? </t>
    </r>
    <r>
      <rPr>
        <sz val="12"/>
        <color indexed="8"/>
        <rFont val="Calibri"/>
        <family val="2"/>
        <scheme val="minor"/>
      </rPr>
      <t>Use Integrated Landscape Assessment Project (ILAP) database to calculate percent of buffered stream network above project barrier in these categories. See References tab for category definitions.</t>
    </r>
  </si>
  <si>
    <t>What level of threat do non-native/exotic aquatic animal species present?
Trace/None, Somewhat, or Significant.</t>
  </si>
  <si>
    <t>DEQ Water Quality</t>
  </si>
  <si>
    <r>
      <rPr>
        <b/>
        <u/>
        <sz val="12"/>
        <color indexed="8"/>
        <rFont val="Calibri"/>
        <family val="2"/>
        <scheme val="minor"/>
      </rPr>
      <t>Is any part of the project's fish-use stream length on the DEQ 303d list or a TMDL for impairment of any water quality parameter</t>
    </r>
    <r>
      <rPr>
        <b/>
        <sz val="12"/>
        <color indexed="8"/>
        <rFont val="Calibri"/>
        <family val="2"/>
        <scheme val="minor"/>
      </rPr>
      <t xml:space="preserve">? </t>
    </r>
    <r>
      <rPr>
        <sz val="12"/>
        <color indexed="8"/>
        <rFont val="Calibri"/>
        <family val="2"/>
        <scheme val="minor"/>
      </rPr>
      <t xml:space="preserve"> If no 303d or TMDL information is available for this location, but there are water quality data or measurements made repeatedly with adequate quality assurance that indicate chronic problems, they should be considered. </t>
    </r>
  </si>
  <si>
    <t xml:space="preserve">http://www.deq.state.or.us/wq/assessment/rpt2010/search.asp </t>
  </si>
  <si>
    <t>http://deq12.deq.state.or.us/lasar2/default.aspx)</t>
  </si>
  <si>
    <t>ODF Fish-use stream definition (OAR 629-635-0200)
Bailey 2012; Pilson 2012</t>
  </si>
  <si>
    <t>Loffink 2013;
Previous ODFW Net Benefit Analyses (NBA)</t>
  </si>
  <si>
    <t>Maher et al. 2005; Beamer et al. 2000; USDA &amp; USDI 2005; Previous NBAs</t>
  </si>
  <si>
    <t>Or. Stream Functional Assessment; Potyondy &amp; Geier 2011</t>
  </si>
  <si>
    <t>Integrated Landscape Assessment Project (OSU, USFS, INR); Or. Stream Functional Assessment</t>
  </si>
  <si>
    <t>%ProtRip &amp;
%Protect</t>
  </si>
  <si>
    <t>Loffink 2013; Previous NBAs</t>
  </si>
  <si>
    <t>Maher et al. 2005; Potyondy &amp; Geier 2011; Previous NBAs</t>
  </si>
  <si>
    <t>Potyondy &amp; Geier 2011</t>
  </si>
  <si>
    <t>AREMP 2005; Martin and Apse 2013; Pilson 2012</t>
  </si>
  <si>
    <r>
      <rPr>
        <b/>
        <sz val="11"/>
        <color theme="1"/>
        <rFont val="Calibri"/>
        <family val="2"/>
        <scheme val="minor"/>
      </rPr>
      <t>Bailey, S. 2012.</t>
    </r>
    <r>
      <rPr>
        <sz val="11"/>
        <color theme="1"/>
        <rFont val="Calibri"/>
        <family val="2"/>
        <scheme val="minor"/>
      </rPr>
      <t xml:space="preserve"> Culvert Assessment and Prioritization Plan for Fish Passage in the Tillamook Bay Watershed, Tillamook County, Oregon – Version 1.1. Report to Tillamook Estuaries Partnership, Garibaldi, Oregon. 259 pp. </t>
    </r>
  </si>
  <si>
    <r>
      <rPr>
        <b/>
        <sz val="11"/>
        <color theme="1"/>
        <rFont val="Calibri"/>
        <family val="2"/>
        <scheme val="minor"/>
      </rPr>
      <t>Pilson, S. 2012.</t>
    </r>
    <r>
      <rPr>
        <sz val="11"/>
        <color theme="1"/>
        <rFont val="Calibri"/>
        <family val="2"/>
        <scheme val="minor"/>
      </rPr>
      <t xml:space="preserve"> Prioritizing Fish Passage Barrier Removal at the Sub-basin-scale: A Strategy for the Tillamook-Nestucca Sub-Basin, Tillamook County, Oregon. Submitted in partial fulfillment of the requirements for the degree Master of Environmental Management, Portland State University. Portland, Oregon. 59 pp.</t>
    </r>
  </si>
  <si>
    <r>
      <rPr>
        <b/>
        <sz val="11"/>
        <color theme="1"/>
        <rFont val="Calibri"/>
        <family val="2"/>
        <scheme val="minor"/>
      </rPr>
      <t>Beamer, E., T. Beechie, B. Perkowski, and J. Klochak. 2000.</t>
    </r>
    <r>
      <rPr>
        <sz val="11"/>
        <color theme="1"/>
        <rFont val="Calibri"/>
        <family val="2"/>
        <scheme val="minor"/>
      </rPr>
      <t xml:space="preserve"> River Basin Analysis of the Skagit and Samish Basins: Tools for Salmon Habitat Restoration and Protection. Report to Skagit Watershed Council, Mt. Vernon, Washington. 86 pp.</t>
    </r>
  </si>
  <si>
    <r>
      <rPr>
        <b/>
        <sz val="11"/>
        <color theme="1"/>
        <rFont val="Calibri"/>
        <family val="2"/>
        <scheme val="minor"/>
      </rPr>
      <t>Potyondy, J. P., &amp; Geier, T. W. 2011.</t>
    </r>
    <r>
      <rPr>
        <sz val="11"/>
        <color theme="1"/>
        <rFont val="Calibri"/>
        <family val="2"/>
        <scheme val="minor"/>
      </rPr>
      <t xml:space="preserve"> Watershed Condition Classification Technical Guide. Washington, DC: US Department of Agriculture, 5-6.</t>
    </r>
  </si>
  <si>
    <t>Passage Status at Project Barrier</t>
  </si>
  <si>
    <t xml:space="preserve">“fish-use” streams as detailed in Oregon Forest Practices Rule guidance (see OAR 629-635-0200) and represented in the Fish Presence GIS data modeled by ODF. May also be termed “fish-bearing reaches”. </t>
  </si>
  <si>
    <t>Composite Habitat Quality by Reach</t>
  </si>
  <si>
    <t>Eq: (% of optimal Composite Habitat Quality by Reach *Reach Area)</t>
  </si>
  <si>
    <t>Class 1 Late Seral</t>
  </si>
  <si>
    <t>Class 2 Mid Seral</t>
  </si>
  <si>
    <t>Class 3 Early Seral</t>
  </si>
  <si>
    <t>Class 5 Non-forested</t>
  </si>
  <si>
    <t>% class 5: ‘non-forested’ lands, including rock, urban areas, agricultural land, etc.</t>
  </si>
  <si>
    <t>Field Data Required</t>
  </si>
  <si>
    <r>
      <rPr>
        <b/>
        <sz val="12"/>
        <color theme="1"/>
        <rFont val="Calibri"/>
        <family val="2"/>
        <scheme val="minor"/>
      </rPr>
      <t>Fish Species</t>
    </r>
    <r>
      <rPr>
        <sz val="12"/>
        <color theme="1"/>
        <rFont val="Calibri"/>
        <family val="2"/>
        <scheme val="minor"/>
      </rPr>
      <t xml:space="preserve">:  Put an X in the appropriate columns for the native migratory fish species present based on ODFW's Fish Habitat Distribution database and confirm with local ODFW District Biologist.    Status abbreviations: T = Threatened, E = Endangered, C = Critical, V = Vulnerable.  'Current' presence status in the GIS data is indicated by a status other than 'Historic', for example 'Spawning'. </t>
    </r>
  </si>
  <si>
    <t xml:space="preserve">Essential Indicators Provided? </t>
  </si>
  <si>
    <t xml:space="preserve">This Fish Passage Credit Calculator is supported by a Geographic Information System (GIS) interface and User Guide describing how to use the interface to input information into this spreadsheet and calculate credits.  </t>
  </si>
  <si>
    <t>FISH PASSAGE CREDIT CALCULATOR</t>
  </si>
  <si>
    <t>Version 1.1</t>
  </si>
  <si>
    <t>February 2015</t>
  </si>
  <si>
    <r>
      <t>Is the channel entrenched or does it have good channel-floodplain interactions?</t>
    </r>
    <r>
      <rPr>
        <sz val="12"/>
        <color indexed="8"/>
        <rFont val="Calibri"/>
        <family val="2"/>
        <scheme val="minor"/>
      </rPr>
      <t xml:space="preserve"> What % of the potential fish use stream length above the barrier has entrenchment ratio &gt; 2.2 (indicating good floodplain interaction)? Entrenchment ratios are measured during Aquatic Inventory surveys. (See Glossary on Introduction page for formula)</t>
    </r>
  </si>
  <si>
    <t>Miles,
 Ratio &gt; 2.2</t>
  </si>
  <si>
    <t>% of miles with entrenchment ratio &gt; 2.2</t>
  </si>
  <si>
    <t>Foster et al 2001; AREMP 2005; EPA Watershed Academy 2005</t>
  </si>
  <si>
    <r>
      <rPr>
        <b/>
        <sz val="11"/>
        <color theme="1"/>
        <rFont val="Calibri"/>
        <family val="2"/>
        <scheme val="minor"/>
      </rPr>
      <t>EPA Watershed Academy. 2005.</t>
    </r>
    <r>
      <rPr>
        <sz val="11"/>
        <color theme="1"/>
        <rFont val="Calibri"/>
        <family val="2"/>
        <scheme val="minor"/>
      </rPr>
      <t xml:space="preserve"> Fundamentals of the Rosgen Stream Classification System; Excerpts of copyrighted material used with permission from Rosgen, D.L. and H.L. Silvey. 1996. Applied River Morphology. Wildland Hydrology Books, Fort Collins, CO. http://www.epa.gov/watertrain/stream_class/index.htm </t>
    </r>
  </si>
  <si>
    <t>If you wish to print only the data portions of this workbook, either set your print options to "Print entire workbook" &amp; limit the pages to 2 thru 10, or print tabs individually.</t>
  </si>
  <si>
    <t>Key to HabRate Values: 3 = Good, 2 = Fair, 1 = Poor</t>
  </si>
  <si>
    <t>Key to Species and life stage abbreviations</t>
  </si>
  <si>
    <t>HABITAT QUALITY  - COMPOSITE INDICATOR SUBSCORES (Key to Values: 3 = Good, 2 = Fair, 1 = Poor)</t>
  </si>
  <si>
    <r>
      <rPr>
        <b/>
        <sz val="12"/>
        <color theme="1"/>
        <rFont val="Calibri"/>
        <family val="2"/>
        <scheme val="minor"/>
      </rPr>
      <t>Special Features:</t>
    </r>
    <r>
      <rPr>
        <sz val="12"/>
        <color theme="1"/>
        <rFont val="Calibri"/>
        <family val="2"/>
        <scheme val="minor"/>
      </rPr>
      <t xml:space="preserve"> List any special aquatic habitat features (large logjams, wooded wetlands, numerous connected riparian wetlands, beaver-pond complexes, groundwater dependent ecosystems, cold water refugia, native fish populations with diverse life histories, etc.) in the project fish-use stream length.</t>
    </r>
  </si>
  <si>
    <r>
      <t>For each Category</t>
    </r>
    <r>
      <rPr>
        <b/>
        <sz val="14"/>
        <color theme="1"/>
        <rFont val="Calibri"/>
        <family val="2"/>
        <scheme val="minor"/>
      </rPr>
      <t>,</t>
    </r>
    <r>
      <rPr>
        <sz val="14"/>
        <color theme="1"/>
        <rFont val="Calibri"/>
        <family val="2"/>
        <scheme val="minor"/>
      </rPr>
      <t xml:space="preserve"> the </t>
    </r>
    <r>
      <rPr>
        <b/>
        <sz val="14"/>
        <color theme="1"/>
        <rFont val="Calibri"/>
        <family val="2"/>
        <scheme val="minor"/>
      </rPr>
      <t xml:space="preserve">Essential Indicators </t>
    </r>
    <r>
      <rPr>
        <sz val="14"/>
        <color theme="1"/>
        <rFont val="Calibri"/>
        <family val="2"/>
        <scheme val="minor"/>
      </rPr>
      <t>are:</t>
    </r>
    <r>
      <rPr>
        <b/>
        <sz val="14"/>
        <color theme="1"/>
        <rFont val="Calibri"/>
        <family val="2"/>
        <scheme val="minor"/>
      </rPr>
      <t xml:space="preserve">
</t>
    </r>
    <r>
      <rPr>
        <b/>
        <sz val="12"/>
        <color theme="1"/>
        <rFont val="Calibri"/>
        <family val="2"/>
        <scheme val="minor"/>
      </rPr>
      <t xml:space="preserve">   </t>
    </r>
    <r>
      <rPr>
        <sz val="14"/>
        <color theme="1"/>
        <rFont val="Calibri"/>
        <family val="2"/>
        <scheme val="minor"/>
      </rPr>
      <t xml:space="preserve">
</t>
    </r>
    <r>
      <rPr>
        <b/>
        <sz val="14"/>
        <color theme="1"/>
        <rFont val="Calibri"/>
        <family val="2"/>
        <scheme val="minor"/>
      </rPr>
      <t>Instream Habitat</t>
    </r>
    <r>
      <rPr>
        <sz val="14"/>
        <color theme="1"/>
        <rFont val="Calibri"/>
        <family val="2"/>
        <scheme val="minor"/>
      </rPr>
      <t xml:space="preserve">:  HabRate results 
</t>
    </r>
    <r>
      <rPr>
        <sz val="12"/>
        <color theme="1"/>
        <rFont val="Calibri"/>
        <family val="2"/>
        <scheme val="minor"/>
      </rPr>
      <t xml:space="preserve">   </t>
    </r>
    <r>
      <rPr>
        <sz val="14"/>
        <color theme="1"/>
        <rFont val="Calibri"/>
        <family val="2"/>
        <scheme val="minor"/>
      </rPr>
      <t xml:space="preserve">
</t>
    </r>
    <r>
      <rPr>
        <b/>
        <sz val="14"/>
        <color theme="1"/>
        <rFont val="Calibri"/>
        <family val="2"/>
        <scheme val="minor"/>
      </rPr>
      <t xml:space="preserve">Riparian &amp; Floodplain Interactions: </t>
    </r>
    <r>
      <rPr>
        <sz val="14"/>
        <color theme="1"/>
        <rFont val="Calibri"/>
        <family val="2"/>
        <scheme val="minor"/>
      </rPr>
      <t xml:space="preserve"> % FuncRip, plus at least 1 of the floodplain interaction indicators (Entrench or Floodplain) 
</t>
    </r>
    <r>
      <rPr>
        <sz val="12"/>
        <color theme="1"/>
        <rFont val="Calibri"/>
        <family val="2"/>
        <scheme val="minor"/>
      </rPr>
      <t xml:space="preserve">    </t>
    </r>
    <r>
      <rPr>
        <sz val="14"/>
        <color theme="1"/>
        <rFont val="Calibri"/>
        <family val="2"/>
        <scheme val="minor"/>
      </rPr>
      <t xml:space="preserve">
</t>
    </r>
    <r>
      <rPr>
        <b/>
        <sz val="14"/>
        <color theme="1"/>
        <rFont val="Calibri"/>
        <family val="2"/>
        <scheme val="minor"/>
      </rPr>
      <t>Suporting Landscape Context</t>
    </r>
    <r>
      <rPr>
        <sz val="14"/>
        <color theme="1"/>
        <rFont val="Calibri"/>
        <family val="2"/>
        <scheme val="minor"/>
      </rPr>
      <t xml:space="preserve">:  at least 1 of the Protected Management status indicators (%Protect or %ProtRip), plus StrmXDen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</si>
</sst>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00"/>
    <numFmt numFmtId="167" formatCode="_(* #,##0_);_(* \(#,##0\);_(* &quot;-&quot;??_);_(@_)"/>
    <numFmt numFmtId="168" formatCode="0.000000"/>
  </numFmts>
  <fonts count="46" x14ac:knownFonts="1">
    <font>
      <sz val="11"/>
      <color theme="1"/>
      <name val="Calibri"/>
      <family val="2"/>
      <scheme val="minor"/>
    </font>
    <font>
      <b/>
      <sz val="14"/>
      <color theme="1"/>
      <name val="Arial"/>
      <family val="2"/>
    </font>
    <font>
      <sz val="9"/>
      <color indexed="81"/>
      <name val="Tahoma"/>
      <family val="2"/>
    </font>
    <font>
      <b/>
      <sz val="9"/>
      <color indexed="81"/>
      <name val="Tahoma"/>
      <family val="2"/>
    </font>
    <font>
      <b/>
      <sz val="11"/>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b/>
      <sz val="10"/>
      <color rgb="FFFF0000"/>
      <name val="Calibri"/>
      <family val="2"/>
      <scheme val="minor"/>
    </font>
    <font>
      <sz val="11"/>
      <name val="Calibri"/>
      <family val="2"/>
      <scheme val="minor"/>
    </font>
    <font>
      <b/>
      <sz val="10"/>
      <color theme="1"/>
      <name val="Calibri"/>
      <family val="2"/>
      <scheme val="minor"/>
    </font>
    <font>
      <b/>
      <sz val="10"/>
      <name val="Arial"/>
      <family val="2"/>
    </font>
    <font>
      <sz val="10"/>
      <name val="Calibri"/>
      <family val="2"/>
      <scheme val="minor"/>
    </font>
    <font>
      <b/>
      <sz val="14"/>
      <name val="Arial"/>
      <family val="2"/>
    </font>
    <font>
      <sz val="12"/>
      <name val="Arial"/>
      <family val="2"/>
    </font>
    <font>
      <sz val="12"/>
      <color rgb="FF000000"/>
      <name val="Arial"/>
      <family val="2"/>
    </font>
    <font>
      <i/>
      <sz val="11"/>
      <color theme="1"/>
      <name val="Calibri"/>
      <family val="2"/>
      <scheme val="minor"/>
    </font>
    <font>
      <b/>
      <sz val="16"/>
      <color theme="1"/>
      <name val="Calibri"/>
      <family val="2"/>
      <scheme val="minor"/>
    </font>
    <font>
      <sz val="11"/>
      <color theme="1"/>
      <name val="Calibri"/>
      <family val="2"/>
      <scheme val="minor"/>
    </font>
    <font>
      <b/>
      <sz val="10"/>
      <name val="Calibri"/>
      <family val="2"/>
      <scheme val="minor"/>
    </font>
    <font>
      <b/>
      <sz val="10"/>
      <color theme="1"/>
      <name val="Arial"/>
      <family val="2"/>
    </font>
    <font>
      <b/>
      <sz val="12"/>
      <name val="Calibri"/>
      <family val="2"/>
      <scheme val="minor"/>
    </font>
    <font>
      <i/>
      <sz val="10"/>
      <color theme="1"/>
      <name val="Calibri"/>
      <family val="2"/>
      <scheme val="minor"/>
    </font>
    <font>
      <b/>
      <sz val="14"/>
      <color indexed="8"/>
      <name val="Calibri"/>
      <family val="2"/>
      <scheme val="minor"/>
    </font>
    <font>
      <sz val="14"/>
      <color theme="1"/>
      <name val="Calibri"/>
      <family val="2"/>
      <scheme val="minor"/>
    </font>
    <font>
      <b/>
      <sz val="14"/>
      <color theme="1"/>
      <name val="Calibri"/>
      <family val="2"/>
      <scheme val="minor"/>
    </font>
    <font>
      <b/>
      <sz val="12"/>
      <color indexed="8"/>
      <name val="Calibri"/>
      <family val="2"/>
      <scheme val="minor"/>
    </font>
    <font>
      <sz val="12"/>
      <color theme="1"/>
      <name val="Calibri"/>
      <family val="2"/>
      <scheme val="minor"/>
    </font>
    <font>
      <i/>
      <sz val="12"/>
      <color theme="1"/>
      <name val="Calibri"/>
      <family val="2"/>
      <scheme val="minor"/>
    </font>
    <font>
      <sz val="12"/>
      <color indexed="8"/>
      <name val="Calibri"/>
      <family val="2"/>
      <scheme val="minor"/>
    </font>
    <font>
      <sz val="12"/>
      <name val="Calibri"/>
      <family val="2"/>
      <scheme val="minor"/>
    </font>
    <font>
      <sz val="12"/>
      <color rgb="FF000000"/>
      <name val="Calibri"/>
      <family val="2"/>
      <scheme val="minor"/>
    </font>
    <font>
      <b/>
      <u/>
      <sz val="12"/>
      <name val="Calibri"/>
      <family val="2"/>
      <scheme val="minor"/>
    </font>
    <font>
      <b/>
      <u/>
      <sz val="12"/>
      <color indexed="8"/>
      <name val="Calibri"/>
      <family val="2"/>
      <scheme val="minor"/>
    </font>
    <font>
      <b/>
      <i/>
      <sz val="12"/>
      <color indexed="8"/>
      <name val="Calibri"/>
      <family val="2"/>
      <scheme val="minor"/>
    </font>
    <font>
      <b/>
      <sz val="12"/>
      <color rgb="FFFF0000"/>
      <name val="Calibri"/>
      <family val="2"/>
      <scheme val="minor"/>
    </font>
    <font>
      <b/>
      <u/>
      <vertAlign val="superscript"/>
      <sz val="12"/>
      <color indexed="8"/>
      <name val="Calibri"/>
      <family val="2"/>
      <scheme val="minor"/>
    </font>
    <font>
      <vertAlign val="superscript"/>
      <sz val="12"/>
      <color theme="1"/>
      <name val="Calibri"/>
      <family val="2"/>
      <scheme val="minor"/>
    </font>
    <font>
      <i/>
      <sz val="12"/>
      <color indexed="8"/>
      <name val="Calibri"/>
      <family val="2"/>
      <scheme val="minor"/>
    </font>
    <font>
      <b/>
      <i/>
      <u/>
      <sz val="12"/>
      <color indexed="8"/>
      <name val="Calibri"/>
      <family val="2"/>
      <scheme val="minor"/>
    </font>
    <font>
      <sz val="12"/>
      <color rgb="FFFF0000"/>
      <name val="Calibri"/>
      <family val="2"/>
      <scheme val="minor"/>
    </font>
    <font>
      <vertAlign val="superscript"/>
      <sz val="12"/>
      <color indexed="8"/>
      <name val="Calibri"/>
      <family val="2"/>
      <scheme val="minor"/>
    </font>
    <font>
      <b/>
      <vertAlign val="superscript"/>
      <sz val="12"/>
      <color theme="1"/>
      <name val="Calibri"/>
      <family val="2"/>
      <scheme val="minor"/>
    </font>
    <font>
      <sz val="11"/>
      <color rgb="FF000000"/>
      <name val="Arial"/>
      <family val="2"/>
    </font>
    <font>
      <sz val="11"/>
      <color rgb="FFFF0000"/>
      <name val="Calibri"/>
      <family val="2"/>
      <scheme val="minor"/>
    </font>
  </fonts>
  <fills count="19">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indexed="9"/>
        <bgColor indexed="64"/>
      </patternFill>
    </fill>
    <fill>
      <patternFill patternType="solid">
        <fgColor theme="0"/>
        <bgColor indexed="64"/>
      </patternFill>
    </fill>
    <fill>
      <patternFill patternType="solid">
        <fgColor theme="6"/>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24994659260841701"/>
        <bgColor indexed="64"/>
      </patternFill>
    </fill>
    <fill>
      <patternFill patternType="solid">
        <fgColor theme="8" tint="0.39994506668294322"/>
        <bgColor indexed="64"/>
      </patternFill>
    </fill>
    <fill>
      <patternFill patternType="solid">
        <fgColor rgb="FFFF0000"/>
        <bgColor indexed="64"/>
      </patternFill>
    </fill>
    <fill>
      <patternFill patternType="solid">
        <fgColor rgb="FF9BBB59"/>
        <bgColor indexed="64"/>
      </patternFill>
    </fill>
  </fills>
  <borders count="62">
    <border>
      <left/>
      <right/>
      <top/>
      <bottom/>
      <diagonal/>
    </border>
    <border>
      <left style="thin">
        <color auto="1"/>
      </left>
      <right/>
      <top style="medium">
        <color auto="1"/>
      </top>
      <bottom/>
      <diagonal/>
    </border>
    <border>
      <left/>
      <right/>
      <top style="medium">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auto="1"/>
      </right>
      <top style="medium">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0" fontId="8" fillId="0" borderId="0" applyNumberFormat="0" applyFill="0" applyBorder="0" applyAlignment="0" applyProtection="0"/>
    <xf numFmtId="43" fontId="19" fillId="0" borderId="0" applyFont="0" applyFill="0" applyBorder="0" applyAlignment="0" applyProtection="0"/>
    <xf numFmtId="9" fontId="19" fillId="0" borderId="0" applyFont="0" applyFill="0" applyBorder="0" applyAlignment="0" applyProtection="0"/>
  </cellStyleXfs>
  <cellXfs count="543">
    <xf numFmtId="0" fontId="0" fillId="0" borderId="0" xfId="0"/>
    <xf numFmtId="0" fontId="0" fillId="0" borderId="0" xfId="0" applyAlignment="1">
      <alignment wrapText="1"/>
    </xf>
    <xf numFmtId="0" fontId="5" fillId="0" borderId="0" xfId="0" applyFont="1" applyAlignment="1">
      <alignment vertical="center" wrapText="1"/>
    </xf>
    <xf numFmtId="14" fontId="0" fillId="0" borderId="0" xfId="0" applyNumberFormat="1" applyFont="1" applyAlignment="1">
      <alignment horizontal="center" vertical="center" wrapText="1"/>
    </xf>
    <xf numFmtId="0" fontId="4" fillId="0" borderId="0" xfId="0" applyFont="1"/>
    <xf numFmtId="0" fontId="8" fillId="0" borderId="0" xfId="1"/>
    <xf numFmtId="0" fontId="8" fillId="0" borderId="0" xfId="1" applyAlignment="1">
      <alignment vertical="center"/>
    </xf>
    <xf numFmtId="0" fontId="10" fillId="0" borderId="0" xfId="0" applyFont="1" applyAlignment="1">
      <alignment horizontal="center" vertical="center"/>
    </xf>
    <xf numFmtId="0" fontId="16" fillId="0" borderId="0" xfId="0" applyFont="1" applyAlignment="1">
      <alignment horizontal="left" vertical="center" wrapText="1" readingOrder="1"/>
    </xf>
    <xf numFmtId="0" fontId="0" fillId="0" borderId="0" xfId="0" applyAlignment="1">
      <alignment horizontal="right"/>
    </xf>
    <xf numFmtId="0" fontId="0" fillId="0" borderId="0" xfId="0" applyFill="1" applyAlignment="1">
      <alignment horizontal="right"/>
    </xf>
    <xf numFmtId="0" fontId="0" fillId="0" borderId="0" xfId="0" applyFill="1" applyAlignment="1">
      <alignment horizontal="center"/>
    </xf>
    <xf numFmtId="0" fontId="0" fillId="0" borderId="0" xfId="0" applyFill="1" applyBorder="1" applyAlignment="1">
      <alignment horizontal="right"/>
    </xf>
    <xf numFmtId="0" fontId="0" fillId="0" borderId="0" xfId="0" applyFill="1" applyBorder="1" applyAlignment="1">
      <alignment horizontal="center"/>
    </xf>
    <xf numFmtId="2" fontId="0" fillId="0" borderId="0" xfId="0" applyNumberFormat="1" applyFill="1" applyBorder="1" applyAlignment="1">
      <alignment horizontal="center"/>
    </xf>
    <xf numFmtId="0" fontId="1" fillId="0" borderId="0" xfId="0" applyFont="1" applyBorder="1" applyAlignment="1">
      <alignment horizontal="left" vertical="center" wrapText="1"/>
    </xf>
    <xf numFmtId="0" fontId="0" fillId="0" borderId="0" xfId="0" applyAlignment="1">
      <alignment horizontal="left" wrapText="1"/>
    </xf>
    <xf numFmtId="2" fontId="4" fillId="0" borderId="0" xfId="0" applyNumberFormat="1" applyFont="1"/>
    <xf numFmtId="0" fontId="0" fillId="0" borderId="0" xfId="0"/>
    <xf numFmtId="0" fontId="5" fillId="0" borderId="0" xfId="0" applyFont="1" applyAlignment="1">
      <alignment vertical="center" wrapText="1"/>
    </xf>
    <xf numFmtId="0" fontId="5"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Fill="1" applyAlignment="1">
      <alignment horizontal="center" vertical="center" wrapText="1"/>
    </xf>
    <xf numFmtId="0" fontId="6" fillId="0" borderId="0" xfId="0" applyFont="1" applyBorder="1" applyAlignment="1">
      <alignment vertical="center" wrapText="1"/>
    </xf>
    <xf numFmtId="14" fontId="0"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4" fillId="0" borderId="0" xfId="0" applyFont="1"/>
    <xf numFmtId="0" fontId="6" fillId="0" borderId="0" xfId="0" applyFont="1" applyFill="1" applyBorder="1" applyAlignment="1">
      <alignment vertical="center" wrapText="1"/>
    </xf>
    <xf numFmtId="0" fontId="13" fillId="0" borderId="0" xfId="0" applyFont="1" applyBorder="1" applyAlignment="1">
      <alignment horizontal="left" vertical="center" wrapText="1"/>
    </xf>
    <xf numFmtId="0" fontId="13" fillId="2" borderId="8"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0" fillId="0" borderId="0" xfId="0" applyBorder="1"/>
    <xf numFmtId="0" fontId="6" fillId="0" borderId="0" xfId="0" applyFont="1" applyBorder="1" applyAlignment="1">
      <alignment horizontal="center" vertical="center" wrapText="1"/>
    </xf>
    <xf numFmtId="0" fontId="13" fillId="0" borderId="0" xfId="0" applyFont="1" applyBorder="1" applyAlignment="1">
      <alignment horizontal="right" vertical="center" wrapText="1"/>
    </xf>
    <xf numFmtId="0" fontId="0" fillId="0" borderId="0" xfId="0" applyFill="1" applyBorder="1"/>
    <xf numFmtId="0" fontId="0" fillId="0" borderId="0" xfId="0" applyFont="1"/>
    <xf numFmtId="0" fontId="6" fillId="0" borderId="0" xfId="0" applyFont="1" applyFill="1" applyAlignment="1">
      <alignment vertical="center" wrapText="1"/>
    </xf>
    <xf numFmtId="0" fontId="20" fillId="0" borderId="0" xfId="0" applyFont="1" applyBorder="1" applyAlignment="1">
      <alignment horizontal="right" vertical="center" wrapText="1"/>
    </xf>
    <xf numFmtId="0" fontId="11" fillId="0" borderId="4" xfId="0" applyFont="1" applyBorder="1" applyAlignment="1">
      <alignment horizontal="left" vertical="center" wrapText="1"/>
    </xf>
    <xf numFmtId="0" fontId="11" fillId="0" borderId="0" xfId="0" applyFont="1" applyAlignment="1">
      <alignment vertical="center"/>
    </xf>
    <xf numFmtId="0" fontId="6" fillId="0" borderId="0" xfId="0" applyFont="1"/>
    <xf numFmtId="14" fontId="6" fillId="0" borderId="0" xfId="0" applyNumberFormat="1" applyFont="1" applyBorder="1" applyAlignment="1">
      <alignment horizontal="center" vertical="center" wrapText="1"/>
    </xf>
    <xf numFmtId="0" fontId="21" fillId="0" borderId="0" xfId="0" applyFont="1" applyBorder="1" applyAlignment="1">
      <alignment horizontal="left" vertical="center" wrapText="1"/>
    </xf>
    <xf numFmtId="0" fontId="6" fillId="0" borderId="0" xfId="0" applyFont="1" applyBorder="1"/>
    <xf numFmtId="0" fontId="6" fillId="6" borderId="0" xfId="0" applyFont="1" applyFill="1"/>
    <xf numFmtId="0" fontId="6" fillId="0" borderId="0" xfId="0" applyFont="1" applyBorder="1" applyAlignment="1"/>
    <xf numFmtId="0" fontId="6" fillId="0" borderId="10" xfId="0" applyFont="1" applyBorder="1" applyAlignment="1"/>
    <xf numFmtId="0" fontId="11" fillId="0" borderId="0" xfId="0" applyFont="1" applyFill="1" applyBorder="1" applyAlignment="1">
      <alignment horizontal="left" vertical="center" wrapText="1"/>
    </xf>
    <xf numFmtId="0" fontId="6" fillId="0" borderId="0" xfId="0" applyFont="1" applyFill="1"/>
    <xf numFmtId="0" fontId="6" fillId="0" borderId="0" xfId="0" applyFont="1" applyFill="1" applyBorder="1" applyAlignment="1">
      <alignment horizontal="center" vertical="top" wrapText="1"/>
    </xf>
    <xf numFmtId="0" fontId="0" fillId="0" borderId="0" xfId="0" applyBorder="1" applyAlignment="1">
      <alignment horizontal="center" vertical="top" wrapText="1"/>
    </xf>
    <xf numFmtId="2" fontId="0" fillId="0" borderId="0" xfId="0" applyNumberFormat="1" applyBorder="1" applyAlignment="1">
      <alignment horizontal="center" vertical="top" wrapText="1"/>
    </xf>
    <xf numFmtId="0" fontId="0" fillId="0" borderId="0" xfId="0" applyFont="1" applyAlignment="1">
      <alignment vertical="top"/>
    </xf>
    <xf numFmtId="0" fontId="0" fillId="0" borderId="0" xfId="0" applyFill="1"/>
    <xf numFmtId="0" fontId="0" fillId="0" borderId="0" xfId="0" applyFill="1" applyBorder="1" applyAlignment="1">
      <alignment horizontal="center" vertical="top" wrapText="1"/>
    </xf>
    <xf numFmtId="0" fontId="1" fillId="0" borderId="0" xfId="0" applyFont="1" applyBorder="1" applyAlignment="1">
      <alignment vertical="top"/>
    </xf>
    <xf numFmtId="0" fontId="1" fillId="0" borderId="0" xfId="0" applyFont="1" applyBorder="1" applyAlignment="1">
      <alignment vertical="center"/>
    </xf>
    <xf numFmtId="0" fontId="5" fillId="0" borderId="0" xfId="0" applyFont="1" applyFill="1" applyBorder="1" applyAlignment="1">
      <alignment vertical="center" wrapText="1"/>
    </xf>
    <xf numFmtId="0" fontId="0" fillId="0" borderId="0" xfId="0" applyFont="1" applyFill="1" applyBorder="1" applyAlignment="1" applyProtection="1">
      <alignment horizontal="right" vertical="top" wrapText="1"/>
    </xf>
    <xf numFmtId="0" fontId="0" fillId="0" borderId="0" xfId="0" applyFont="1" applyFill="1" applyBorder="1" applyAlignment="1" applyProtection="1">
      <alignment horizontal="center" vertical="top" wrapText="1"/>
    </xf>
    <xf numFmtId="0" fontId="4" fillId="0" borderId="0" xfId="0" applyFont="1" applyFill="1" applyBorder="1" applyAlignment="1">
      <alignment horizontal="center" vertical="top" wrapText="1"/>
    </xf>
    <xf numFmtId="0" fontId="21" fillId="0" borderId="0" xfId="0" applyFont="1" applyBorder="1" applyAlignment="1">
      <alignment vertical="center"/>
    </xf>
    <xf numFmtId="0" fontId="11" fillId="0" borderId="0" xfId="0" applyFont="1" applyBorder="1" applyAlignment="1">
      <alignment vertical="center"/>
    </xf>
    <xf numFmtId="0" fontId="20" fillId="0" borderId="0" xfId="0" applyFont="1" applyBorder="1" applyAlignment="1">
      <alignment horizontal="right" vertical="center"/>
    </xf>
    <xf numFmtId="164" fontId="6" fillId="0" borderId="0" xfId="0" applyNumberFormat="1" applyFont="1" applyFill="1" applyBorder="1" applyAlignment="1">
      <alignment horizontal="center" vertical="top" wrapText="1"/>
    </xf>
    <xf numFmtId="0" fontId="23" fillId="0" borderId="0" xfId="0" applyFont="1"/>
    <xf numFmtId="1" fontId="23" fillId="0" borderId="0" xfId="0" applyNumberFormat="1" applyFont="1"/>
    <xf numFmtId="3" fontId="0" fillId="0" borderId="0" xfId="0" applyNumberFormat="1"/>
    <xf numFmtId="0" fontId="0" fillId="0" borderId="0" xfId="0" applyFill="1" applyBorder="1" applyAlignment="1">
      <alignment horizontal="center" vertical="center"/>
    </xf>
    <xf numFmtId="0" fontId="0" fillId="0" borderId="0" xfId="0" applyAlignment="1">
      <alignment vertical="center"/>
    </xf>
    <xf numFmtId="0" fontId="0" fillId="0" borderId="0" xfId="0" applyFill="1" applyAlignment="1">
      <alignment vertical="center"/>
    </xf>
    <xf numFmtId="0" fontId="25" fillId="0" borderId="0" xfId="0" applyFont="1" applyProtection="1"/>
    <xf numFmtId="0" fontId="25" fillId="0" borderId="0" xfId="0" applyFont="1"/>
    <xf numFmtId="0" fontId="18" fillId="0" borderId="0" xfId="0" applyFont="1"/>
    <xf numFmtId="0" fontId="26" fillId="0" borderId="0" xfId="0" applyFont="1"/>
    <xf numFmtId="0" fontId="6"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vertical="center" wrapText="1"/>
    </xf>
    <xf numFmtId="0" fontId="6" fillId="0" borderId="0" xfId="0" applyFont="1" applyFill="1" applyBorder="1" applyAlignment="1">
      <alignment vertical="center" wrapText="1"/>
    </xf>
    <xf numFmtId="0" fontId="11" fillId="0" borderId="0" xfId="0" applyFont="1" applyFill="1" applyBorder="1" applyAlignment="1">
      <alignment horizontal="center" vertical="top" wrapText="1"/>
    </xf>
    <xf numFmtId="0" fontId="0" fillId="0" borderId="0" xfId="0" applyFont="1" applyBorder="1"/>
    <xf numFmtId="0" fontId="4" fillId="0" borderId="20" xfId="0" applyFont="1" applyBorder="1" applyAlignment="1">
      <alignment horizontal="center" vertical="center"/>
    </xf>
    <xf numFmtId="0" fontId="9" fillId="0" borderId="0" xfId="0" applyFont="1" applyFill="1" applyBorder="1" applyAlignment="1" applyProtection="1">
      <alignment horizontal="left" vertical="center" wrapText="1"/>
    </xf>
    <xf numFmtId="0" fontId="4" fillId="0" borderId="20"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left"/>
    </xf>
    <xf numFmtId="0" fontId="27" fillId="0" borderId="0" xfId="0" applyFont="1" applyFill="1" applyBorder="1" applyAlignment="1" applyProtection="1">
      <alignment horizontal="right" vertical="center" wrapText="1"/>
    </xf>
    <xf numFmtId="0" fontId="28" fillId="0" borderId="0" xfId="0" applyFont="1"/>
    <xf numFmtId="0" fontId="28" fillId="0" borderId="0"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center" vertical="top"/>
    </xf>
    <xf numFmtId="0" fontId="29" fillId="0" borderId="0" xfId="0" applyFont="1" applyFill="1" applyAlignment="1" applyProtection="1">
      <alignment horizontal="center" vertical="top"/>
    </xf>
    <xf numFmtId="0" fontId="28" fillId="0" borderId="0" xfId="0" applyFont="1" applyBorder="1"/>
    <xf numFmtId="0" fontId="28" fillId="0" borderId="0" xfId="0" applyFont="1" applyAlignment="1">
      <alignment horizontal="center"/>
    </xf>
    <xf numFmtId="0" fontId="7" fillId="0" borderId="2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2" xfId="0" applyFont="1" applyFill="1" applyBorder="1" applyAlignment="1">
      <alignment horizontal="center" vertical="center" wrapText="1"/>
    </xf>
    <xf numFmtId="0" fontId="28" fillId="0" borderId="20" xfId="0" applyFont="1" applyBorder="1" applyAlignment="1">
      <alignment horizontal="center"/>
    </xf>
    <xf numFmtId="0" fontId="28" fillId="0" borderId="0" xfId="0" applyFont="1" applyFill="1" applyBorder="1" applyAlignment="1" applyProtection="1">
      <alignment vertical="top"/>
      <protection locked="0"/>
    </xf>
    <xf numFmtId="0" fontId="28" fillId="0" borderId="0" xfId="0" applyFont="1" applyFill="1" applyBorder="1" applyAlignment="1"/>
    <xf numFmtId="0" fontId="7" fillId="7" borderId="8" xfId="0" applyFont="1" applyFill="1" applyBorder="1" applyAlignment="1">
      <alignment horizontal="center" vertical="center" wrapText="1"/>
    </xf>
    <xf numFmtId="0" fontId="28" fillId="0" borderId="0" xfId="0" applyFont="1" applyAlignment="1">
      <alignment vertical="center" wrapText="1"/>
    </xf>
    <xf numFmtId="0" fontId="28" fillId="0" borderId="0" xfId="0" applyFont="1" applyFill="1" applyBorder="1" applyAlignment="1">
      <alignment horizontal="center" vertical="center" wrapText="1"/>
    </xf>
    <xf numFmtId="0" fontId="28" fillId="0" borderId="0" xfId="0" applyFont="1" applyBorder="1" applyAlignment="1">
      <alignment vertical="center" wrapText="1"/>
    </xf>
    <xf numFmtId="0" fontId="28" fillId="0" borderId="0" xfId="0" applyFont="1" applyBorder="1" applyAlignment="1">
      <alignment horizontal="center" vertical="center" wrapText="1"/>
    </xf>
    <xf numFmtId="0" fontId="28" fillId="0" borderId="8"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30" fillId="0" borderId="8" xfId="0" applyFont="1" applyFill="1" applyBorder="1" applyAlignment="1" applyProtection="1">
      <alignment horizontal="center" vertical="center" wrapText="1"/>
    </xf>
    <xf numFmtId="0" fontId="7" fillId="0" borderId="0" xfId="0" applyFont="1" applyFill="1" applyBorder="1" applyAlignment="1">
      <alignment horizontal="center" vertical="center" wrapText="1"/>
    </xf>
    <xf numFmtId="164" fontId="31" fillId="2" borderId="8" xfId="0" applyNumberFormat="1" applyFont="1" applyFill="1" applyBorder="1" applyAlignment="1">
      <alignment horizontal="center" vertical="center" wrapText="1"/>
    </xf>
    <xf numFmtId="0" fontId="34" fillId="0" borderId="0" xfId="0" applyFont="1" applyFill="1" applyBorder="1" applyAlignment="1" applyProtection="1">
      <alignment horizontal="left" vertical="center" wrapText="1"/>
    </xf>
    <xf numFmtId="0" fontId="31" fillId="0" borderId="0"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5" fillId="0" borderId="0" xfId="0" applyFont="1" applyFill="1" applyBorder="1" applyAlignment="1" applyProtection="1">
      <alignment horizontal="left" vertical="center" wrapText="1"/>
    </xf>
    <xf numFmtId="0" fontId="34" fillId="0" borderId="4" xfId="0" applyFont="1" applyFill="1" applyBorder="1" applyAlignment="1" applyProtection="1">
      <alignment horizontal="left" vertical="center" wrapText="1"/>
    </xf>
    <xf numFmtId="0" fontId="28" fillId="0" borderId="12"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8" xfId="0" applyFont="1" applyFill="1" applyBorder="1" applyAlignment="1">
      <alignment horizontal="center" vertical="top" wrapText="1"/>
    </xf>
    <xf numFmtId="0" fontId="28" fillId="0" borderId="8" xfId="0" applyFont="1" applyFill="1" applyBorder="1" applyAlignment="1">
      <alignment vertical="center" wrapText="1"/>
    </xf>
    <xf numFmtId="0" fontId="28" fillId="0" borderId="0" xfId="0" applyFont="1" applyFill="1" applyAlignment="1">
      <alignment horizontal="center" vertical="center" wrapText="1"/>
    </xf>
    <xf numFmtId="0" fontId="28" fillId="0" borderId="0" xfId="0" applyFont="1" applyAlignment="1">
      <alignment horizontal="center" vertical="center" wrapText="1"/>
    </xf>
    <xf numFmtId="0" fontId="30" fillId="0" borderId="0" xfId="0" applyFont="1" applyFill="1" applyBorder="1" applyAlignment="1" applyProtection="1">
      <alignment horizontal="left" vertical="center" wrapText="1"/>
    </xf>
    <xf numFmtId="0" fontId="7" fillId="0" borderId="8" xfId="0" applyFont="1" applyFill="1" applyBorder="1" applyAlignment="1">
      <alignment horizontal="center" vertical="center" wrapText="1"/>
    </xf>
    <xf numFmtId="164" fontId="28" fillId="3" borderId="8" xfId="0" applyNumberFormat="1" applyFont="1" applyFill="1" applyBorder="1" applyAlignment="1" applyProtection="1">
      <alignment horizontal="center" vertical="center" wrapText="1"/>
    </xf>
    <xf numFmtId="0" fontId="28" fillId="0" borderId="8" xfId="0" applyFont="1" applyBorder="1" applyAlignment="1">
      <alignment horizontal="center" vertical="center" wrapText="1"/>
    </xf>
    <xf numFmtId="164" fontId="31" fillId="3" borderId="8" xfId="0" applyNumberFormat="1" applyFont="1" applyFill="1" applyBorder="1" applyAlignment="1">
      <alignment horizontal="center" vertical="center" wrapText="1"/>
    </xf>
    <xf numFmtId="0" fontId="31" fillId="3" borderId="13" xfId="0" applyFont="1" applyFill="1" applyBorder="1" applyAlignment="1">
      <alignment horizontal="right" vertical="center" wrapText="1"/>
    </xf>
    <xf numFmtId="9" fontId="31" fillId="3" borderId="20" xfId="3" applyFont="1" applyFill="1" applyBorder="1" applyAlignment="1">
      <alignment horizontal="center" vertical="center" wrapText="1"/>
    </xf>
    <xf numFmtId="0" fontId="28" fillId="0" borderId="12" xfId="0" applyFont="1" applyFill="1" applyBorder="1" applyAlignment="1">
      <alignment vertical="center" wrapText="1"/>
    </xf>
    <xf numFmtId="0" fontId="27" fillId="0" borderId="0" xfId="0" applyFont="1" applyFill="1" applyBorder="1" applyAlignment="1" applyProtection="1">
      <alignment horizontal="left" vertical="center" wrapText="1"/>
    </xf>
    <xf numFmtId="0" fontId="27" fillId="0" borderId="0" xfId="0" applyFont="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8" fillId="0" borderId="0" xfId="0" applyFont="1" applyFill="1" applyBorder="1" applyAlignment="1">
      <alignment vertical="center" wrapText="1"/>
    </xf>
    <xf numFmtId="0" fontId="28" fillId="0" borderId="21" xfId="0" applyFont="1" applyFill="1" applyBorder="1" applyAlignment="1">
      <alignment vertical="center" wrapText="1"/>
    </xf>
    <xf numFmtId="0" fontId="28" fillId="0" borderId="0" xfId="0" applyFont="1" applyFill="1" applyBorder="1" applyAlignment="1">
      <alignment vertical="center" wrapText="1"/>
    </xf>
    <xf numFmtId="0" fontId="7" fillId="0" borderId="0" xfId="0" applyFont="1" applyAlignment="1">
      <alignment horizontal="left"/>
    </xf>
    <xf numFmtId="0" fontId="28" fillId="0" borderId="5" xfId="0" applyFont="1" applyFill="1" applyBorder="1" applyAlignment="1">
      <alignment horizontal="center" vertical="center" wrapText="1"/>
    </xf>
    <xf numFmtId="0" fontId="31" fillId="0" borderId="12" xfId="0" applyFont="1" applyFill="1" applyBorder="1" applyAlignment="1" applyProtection="1">
      <alignment horizontal="center" vertical="center" wrapText="1"/>
    </xf>
    <xf numFmtId="0" fontId="31" fillId="2" borderId="20" xfId="0" applyFont="1" applyFill="1" applyBorder="1" applyAlignment="1" applyProtection="1">
      <alignment horizontal="center" vertical="center" wrapText="1"/>
    </xf>
    <xf numFmtId="0" fontId="39" fillId="0" borderId="9" xfId="0" applyFont="1" applyFill="1" applyBorder="1" applyAlignment="1" applyProtection="1">
      <alignment horizontal="left" vertical="center" wrapText="1"/>
    </xf>
    <xf numFmtId="0" fontId="28" fillId="3" borderId="8" xfId="0" applyFont="1" applyFill="1" applyBorder="1" applyAlignment="1">
      <alignment horizontal="right" vertical="center" wrapText="1"/>
    </xf>
    <xf numFmtId="9" fontId="28" fillId="3" borderId="20" xfId="3" applyFont="1" applyFill="1" applyBorder="1" applyAlignment="1">
      <alignment horizontal="center" vertical="center" wrapText="1"/>
    </xf>
    <xf numFmtId="0" fontId="31" fillId="0" borderId="20" xfId="0" applyFont="1" applyFill="1" applyBorder="1" applyAlignment="1" applyProtection="1">
      <alignment horizontal="center" vertical="center" wrapText="1"/>
    </xf>
    <xf numFmtId="0" fontId="28" fillId="2" borderId="20" xfId="0" applyFont="1" applyFill="1" applyBorder="1" applyAlignment="1" applyProtection="1">
      <alignment horizontal="center" vertical="center" wrapText="1"/>
    </xf>
    <xf numFmtId="0" fontId="28" fillId="3" borderId="5" xfId="0" applyFont="1" applyFill="1" applyBorder="1" applyAlignment="1">
      <alignment horizontal="right" vertical="center" wrapText="1"/>
    </xf>
    <xf numFmtId="0" fontId="28" fillId="0" borderId="0" xfId="0" applyFont="1" applyFill="1" applyAlignment="1">
      <alignment vertical="center" wrapText="1"/>
    </xf>
    <xf numFmtId="0" fontId="7" fillId="0" borderId="20" xfId="0" applyFont="1" applyBorder="1" applyAlignment="1">
      <alignment horizontal="center" vertical="center" wrapText="1"/>
    </xf>
    <xf numFmtId="0" fontId="28" fillId="0" borderId="20" xfId="0" applyFont="1" applyBorder="1" applyAlignment="1">
      <alignment horizontal="center" vertical="center" wrapText="1"/>
    </xf>
    <xf numFmtId="0" fontId="28" fillId="2" borderId="8" xfId="0" applyFont="1" applyFill="1" applyBorder="1" applyAlignment="1" applyProtection="1">
      <alignment horizontal="center" vertical="center" wrapText="1"/>
    </xf>
    <xf numFmtId="164" fontId="28" fillId="3" borderId="20" xfId="0" applyNumberFormat="1" applyFont="1" applyFill="1" applyBorder="1" applyAlignment="1">
      <alignment horizontal="center" vertical="center" wrapText="1"/>
    </xf>
    <xf numFmtId="9" fontId="28" fillId="3" borderId="8" xfId="3" applyFont="1" applyFill="1" applyBorder="1" applyAlignment="1">
      <alignment horizontal="center" vertical="center" wrapText="1"/>
    </xf>
    <xf numFmtId="0" fontId="28" fillId="0" borderId="0" xfId="0" applyFont="1" applyFill="1" applyBorder="1" applyAlignment="1">
      <alignment horizontal="center" vertical="top" wrapText="1"/>
    </xf>
    <xf numFmtId="164" fontId="28" fillId="0" borderId="0" xfId="0" applyNumberFormat="1" applyFont="1" applyFill="1" applyBorder="1" applyAlignment="1">
      <alignment horizontal="center" vertical="top" wrapText="1"/>
    </xf>
    <xf numFmtId="0" fontId="28" fillId="0" borderId="13" xfId="0" applyFont="1" applyFill="1" applyBorder="1" applyAlignment="1">
      <alignment vertical="center" wrapText="1"/>
    </xf>
    <xf numFmtId="0" fontId="28" fillId="0" borderId="0" xfId="0" applyFont="1" applyFill="1" applyBorder="1" applyAlignment="1" applyProtection="1">
      <alignment horizontal="center" vertical="center" wrapText="1"/>
    </xf>
    <xf numFmtId="0" fontId="32" fillId="0" borderId="8" xfId="0" applyFont="1" applyFill="1" applyBorder="1" applyAlignment="1">
      <alignment vertical="center" wrapText="1"/>
    </xf>
    <xf numFmtId="0" fontId="28" fillId="0" borderId="0" xfId="0" applyFont="1" applyFill="1" applyAlignment="1">
      <alignment horizontal="center" vertical="center" wrapText="1"/>
    </xf>
    <xf numFmtId="0" fontId="31" fillId="2" borderId="20" xfId="0" applyFont="1" applyFill="1" applyBorder="1" applyAlignment="1">
      <alignment horizontal="center" vertical="center" wrapText="1"/>
    </xf>
    <xf numFmtId="0" fontId="28" fillId="0" borderId="0" xfId="0" applyFont="1" applyFill="1" applyBorder="1" applyAlignment="1" applyProtection="1">
      <alignment horizontal="right" vertical="center" wrapText="1"/>
    </xf>
    <xf numFmtId="0" fontId="28" fillId="3" borderId="13" xfId="0" applyFont="1" applyFill="1" applyBorder="1" applyAlignment="1">
      <alignment horizontal="right" vertical="center" wrapText="1"/>
    </xf>
    <xf numFmtId="0" fontId="41" fillId="0" borderId="0"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0" fillId="0" borderId="8" xfId="0" applyFont="1" applyFill="1" applyBorder="1" applyAlignment="1" applyProtection="1">
      <alignment horizontal="left" vertical="center" wrapText="1"/>
    </xf>
    <xf numFmtId="164" fontId="28" fillId="3" borderId="8" xfId="0" applyNumberFormat="1" applyFont="1" applyFill="1" applyBorder="1" applyAlignment="1">
      <alignment horizontal="center" vertical="top" wrapText="1"/>
    </xf>
    <xf numFmtId="0" fontId="7" fillId="0" borderId="13" xfId="0" applyFont="1" applyFill="1" applyBorder="1" applyAlignment="1">
      <alignment horizontal="center" vertical="center" wrapText="1"/>
    </xf>
    <xf numFmtId="164" fontId="28" fillId="2" borderId="8" xfId="0" applyNumberFormat="1" applyFont="1" applyFill="1" applyBorder="1" applyAlignment="1">
      <alignment horizontal="center" vertical="top" wrapText="1"/>
    </xf>
    <xf numFmtId="0" fontId="28" fillId="0" borderId="0" xfId="0" applyFont="1" applyFill="1" applyBorder="1" applyAlignment="1">
      <alignment horizontal="right" vertical="center" wrapText="1"/>
    </xf>
    <xf numFmtId="9" fontId="28" fillId="0" borderId="0" xfId="3" applyFont="1" applyFill="1" applyBorder="1" applyAlignment="1">
      <alignment horizontal="center" vertical="center" wrapText="1"/>
    </xf>
    <xf numFmtId="2" fontId="28" fillId="3" borderId="8" xfId="0" applyNumberFormat="1" applyFont="1" applyFill="1" applyBorder="1" applyAlignment="1">
      <alignment horizontal="center" vertical="top" wrapText="1"/>
    </xf>
    <xf numFmtId="0" fontId="26" fillId="0" borderId="0" xfId="0" applyFont="1" applyBorder="1" applyAlignment="1">
      <alignment vertical="center"/>
    </xf>
    <xf numFmtId="14" fontId="28" fillId="0" borderId="0" xfId="0" applyNumberFormat="1" applyFont="1" applyBorder="1" applyAlignment="1">
      <alignment horizontal="right" vertical="center"/>
    </xf>
    <xf numFmtId="0" fontId="7" fillId="3" borderId="31" xfId="0" applyFont="1" applyFill="1" applyBorder="1" applyAlignment="1">
      <alignment horizontal="center" vertical="top" wrapText="1"/>
    </xf>
    <xf numFmtId="0" fontId="7" fillId="13" borderId="8" xfId="0" applyFont="1" applyFill="1" applyBorder="1" applyAlignment="1">
      <alignment horizontal="center" vertical="top" wrapText="1"/>
    </xf>
    <xf numFmtId="0" fontId="7" fillId="3" borderId="8" xfId="0" applyFont="1" applyFill="1" applyBorder="1" applyAlignment="1">
      <alignment horizontal="center" vertical="top" wrapText="1"/>
    </xf>
    <xf numFmtId="0" fontId="28" fillId="3" borderId="20" xfId="0" applyFont="1" applyFill="1" applyBorder="1" applyAlignment="1">
      <alignment horizontal="center" vertical="center"/>
    </xf>
    <xf numFmtId="165" fontId="28" fillId="0" borderId="0" xfId="0" applyNumberFormat="1" applyFont="1" applyBorder="1" applyAlignment="1">
      <alignment horizontal="center" vertical="center"/>
    </xf>
    <xf numFmtId="0" fontId="28" fillId="0" borderId="0" xfId="0" applyFont="1" applyBorder="1" applyAlignment="1">
      <alignment horizontal="center" vertical="top" wrapText="1"/>
    </xf>
    <xf numFmtId="9" fontId="28" fillId="3" borderId="20" xfId="0" applyNumberFormat="1" applyFont="1" applyFill="1" applyBorder="1" applyAlignment="1">
      <alignment horizontal="center" vertical="center"/>
    </xf>
    <xf numFmtId="0" fontId="0" fillId="0" borderId="0" xfId="0" applyFill="1" applyBorder="1" applyAlignment="1">
      <alignment vertical="center"/>
    </xf>
    <xf numFmtId="0" fontId="0" fillId="0" borderId="0" xfId="0" applyFont="1" applyFill="1" applyBorder="1" applyAlignment="1">
      <alignment vertical="top" wrapText="1"/>
    </xf>
    <xf numFmtId="0" fontId="5" fillId="0" borderId="0" xfId="0" applyFont="1" applyBorder="1" applyAlignment="1">
      <alignment vertical="center" wrapText="1"/>
    </xf>
    <xf numFmtId="0" fontId="18" fillId="0" borderId="0" xfId="0" applyFont="1" applyBorder="1" applyAlignment="1" applyProtection="1">
      <alignment horizontal="center" vertical="center" wrapText="1"/>
    </xf>
    <xf numFmtId="0" fontId="26" fillId="7" borderId="31" xfId="0" applyFont="1" applyFill="1" applyBorder="1" applyAlignment="1" applyProtection="1">
      <alignment horizontal="center" vertical="center" wrapText="1"/>
    </xf>
    <xf numFmtId="2" fontId="26" fillId="7" borderId="31" xfId="0" applyNumberFormat="1" applyFont="1" applyFill="1" applyBorder="1" applyAlignment="1" applyProtection="1">
      <alignment horizontal="center" vertical="center" wrapText="1"/>
    </xf>
    <xf numFmtId="1" fontId="28" fillId="13" borderId="31" xfId="0" applyNumberFormat="1" applyFont="1" applyFill="1" applyBorder="1" applyAlignment="1" applyProtection="1">
      <alignment horizontal="center" vertical="center" wrapText="1"/>
    </xf>
    <xf numFmtId="0" fontId="28" fillId="12" borderId="31" xfId="0" applyFont="1" applyFill="1" applyBorder="1" applyAlignment="1">
      <alignment horizontal="center"/>
    </xf>
    <xf numFmtId="0" fontId="7" fillId="3" borderId="31" xfId="2" applyNumberFormat="1" applyFont="1" applyFill="1" applyBorder="1" applyAlignment="1" applyProtection="1">
      <alignment horizontal="center" vertical="center"/>
    </xf>
    <xf numFmtId="14" fontId="28" fillId="0" borderId="0" xfId="0" applyNumberFormat="1" applyFont="1" applyBorder="1" applyAlignment="1">
      <alignment vertical="center" wrapText="1"/>
    </xf>
    <xf numFmtId="0" fontId="28" fillId="2" borderId="29" xfId="0" applyFont="1" applyFill="1" applyBorder="1" applyAlignment="1">
      <alignment horizontal="center" vertical="center"/>
    </xf>
    <xf numFmtId="0" fontId="28" fillId="2" borderId="30" xfId="0" applyFont="1" applyFill="1" applyBorder="1" applyAlignment="1">
      <alignment horizontal="center" vertical="center"/>
    </xf>
    <xf numFmtId="0" fontId="31" fillId="2" borderId="29" xfId="0" applyFont="1" applyFill="1" applyBorder="1" applyAlignment="1">
      <alignment horizontal="center" vertical="center"/>
    </xf>
    <xf numFmtId="0" fontId="32" fillId="2" borderId="29" xfId="0" applyFont="1" applyFill="1" applyBorder="1" applyAlignment="1">
      <alignment horizontal="center" vertical="center"/>
    </xf>
    <xf numFmtId="0" fontId="7" fillId="0" borderId="0" xfId="0" applyFont="1" applyBorder="1" applyAlignment="1">
      <alignment horizontal="center" wrapText="1"/>
    </xf>
    <xf numFmtId="0" fontId="7" fillId="0" borderId="36" xfId="0" applyFont="1" applyFill="1" applyBorder="1" applyAlignment="1">
      <alignment horizontal="center" vertical="center" wrapText="1"/>
    </xf>
    <xf numFmtId="0" fontId="28" fillId="2" borderId="37" xfId="0" applyFont="1" applyFill="1" applyBorder="1" applyAlignment="1">
      <alignment horizontal="center" vertical="center"/>
    </xf>
    <xf numFmtId="0" fontId="28" fillId="2" borderId="38" xfId="0" applyFont="1" applyFill="1" applyBorder="1" applyAlignment="1">
      <alignment horizontal="center" vertical="center"/>
    </xf>
    <xf numFmtId="0" fontId="28" fillId="0" borderId="0" xfId="0" applyFont="1" applyFill="1" applyBorder="1" applyAlignment="1" applyProtection="1">
      <alignment horizontal="left" vertical="top" wrapText="1"/>
    </xf>
    <xf numFmtId="164" fontId="28" fillId="0" borderId="0" xfId="0" applyNumberFormat="1" applyFont="1" applyFill="1" applyBorder="1" applyAlignment="1">
      <alignment horizontal="center" vertical="center" wrapText="1"/>
    </xf>
    <xf numFmtId="0" fontId="28" fillId="0" borderId="8" xfId="0" applyFont="1" applyBorder="1" applyAlignment="1">
      <alignment horizontal="center" vertical="center" wrapText="1"/>
    </xf>
    <xf numFmtId="0" fontId="31" fillId="0" borderId="3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7" fillId="0" borderId="0" xfId="0" applyFont="1" applyFill="1" applyBorder="1" applyAlignment="1" applyProtection="1">
      <alignment horizontal="right" vertical="center" wrapText="1"/>
    </xf>
    <xf numFmtId="1" fontId="23" fillId="0" borderId="0" xfId="0" applyNumberFormat="1" applyFont="1" applyAlignment="1">
      <alignment horizontal="right"/>
    </xf>
    <xf numFmtId="0" fontId="0" fillId="0" borderId="33" xfId="0" applyBorder="1" applyAlignment="1">
      <alignment wrapText="1"/>
    </xf>
    <xf numFmtId="0" fontId="28" fillId="4" borderId="8" xfId="0" applyFont="1" applyFill="1" applyBorder="1" applyAlignment="1">
      <alignment horizontal="center" vertical="top" wrapText="1"/>
    </xf>
    <xf numFmtId="0" fontId="28" fillId="15" borderId="8" xfId="0" applyFont="1" applyFill="1" applyBorder="1" applyAlignment="1">
      <alignment horizontal="center" vertical="top" wrapText="1"/>
    </xf>
    <xf numFmtId="0" fontId="28" fillId="15" borderId="31" xfId="0" applyFont="1" applyFill="1" applyBorder="1" applyAlignment="1">
      <alignment horizontal="center" vertical="top" wrapText="1"/>
    </xf>
    <xf numFmtId="0" fontId="28" fillId="15" borderId="12" xfId="0" applyFont="1" applyFill="1" applyBorder="1" applyAlignment="1">
      <alignment horizontal="center" vertical="center" wrapText="1"/>
    </xf>
    <xf numFmtId="165" fontId="28" fillId="15" borderId="8" xfId="0" applyNumberFormat="1" applyFont="1" applyFill="1" applyBorder="1" applyAlignment="1">
      <alignment horizontal="center" vertical="center"/>
    </xf>
    <xf numFmtId="0" fontId="28" fillId="4" borderId="12" xfId="0" applyFont="1" applyFill="1" applyBorder="1" applyAlignment="1">
      <alignment horizontal="center" vertical="center" wrapText="1"/>
    </xf>
    <xf numFmtId="165" fontId="28" fillId="4" borderId="8" xfId="0" applyNumberFormat="1" applyFont="1" applyFill="1" applyBorder="1" applyAlignment="1">
      <alignment horizontal="center" vertical="center"/>
    </xf>
    <xf numFmtId="0" fontId="28" fillId="4" borderId="0" xfId="0" applyFont="1" applyFill="1"/>
    <xf numFmtId="0" fontId="11" fillId="0" borderId="9" xfId="0" applyFont="1" applyBorder="1" applyAlignment="1">
      <alignment horizontal="left" vertical="center" wrapText="1"/>
    </xf>
    <xf numFmtId="0" fontId="13" fillId="0" borderId="0" xfId="0" applyFont="1" applyFill="1" applyBorder="1" applyAlignment="1">
      <alignment horizontal="left" vertical="center" wrapText="1"/>
    </xf>
    <xf numFmtId="0" fontId="13" fillId="0" borderId="33" xfId="0" applyFont="1" applyFill="1" applyBorder="1" applyAlignment="1">
      <alignment horizontal="left" vertical="center" wrapText="1"/>
    </xf>
    <xf numFmtId="0" fontId="27" fillId="0" borderId="0" xfId="0" applyFont="1" applyFill="1" applyBorder="1" applyAlignment="1" applyProtection="1">
      <alignment horizontal="right" vertical="center" wrapText="1"/>
    </xf>
    <xf numFmtId="0" fontId="29" fillId="0" borderId="0" xfId="0" applyFont="1" applyFill="1" applyBorder="1" applyAlignment="1" applyProtection="1">
      <alignment horizontal="center" vertical="top"/>
    </xf>
    <xf numFmtId="0" fontId="28" fillId="0" borderId="8" xfId="0" applyFont="1" applyBorder="1" applyAlignment="1">
      <alignment horizontal="center" vertical="center" wrapText="1"/>
    </xf>
    <xf numFmtId="14" fontId="28" fillId="0" borderId="0" xfId="0"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right" vertical="center"/>
      <protection locked="0"/>
    </xf>
    <xf numFmtId="0" fontId="0" fillId="0" borderId="0" xfId="0" applyFont="1" applyAlignment="1">
      <alignment horizontal="right"/>
    </xf>
    <xf numFmtId="0" fontId="7" fillId="9" borderId="0" xfId="0" applyFont="1" applyFill="1"/>
    <xf numFmtId="0" fontId="28" fillId="9" borderId="0" xfId="0" applyFont="1" applyFill="1"/>
    <xf numFmtId="0" fontId="28" fillId="10" borderId="0" xfId="0" applyFont="1" applyFill="1"/>
    <xf numFmtId="0" fontId="28" fillId="0" borderId="0" xfId="0" applyFont="1" applyFill="1"/>
    <xf numFmtId="0" fontId="28" fillId="0" borderId="0" xfId="0" applyFont="1" applyFill="1" applyBorder="1"/>
    <xf numFmtId="0" fontId="28" fillId="0" borderId="39" xfId="0" applyFont="1" applyBorder="1" applyAlignment="1">
      <alignment horizontal="center"/>
    </xf>
    <xf numFmtId="0" fontId="28" fillId="0" borderId="0" xfId="0" applyFont="1" applyFill="1" applyBorder="1" applyAlignment="1">
      <alignment horizontal="center"/>
    </xf>
    <xf numFmtId="0" fontId="28" fillId="0" borderId="39" xfId="0" applyFont="1" applyBorder="1" applyAlignment="1">
      <alignment horizontal="left"/>
    </xf>
    <xf numFmtId="0" fontId="28" fillId="0" borderId="0" xfId="0" applyFont="1" applyFill="1" applyBorder="1" applyAlignment="1">
      <alignment horizontal="left" vertical="center"/>
    </xf>
    <xf numFmtId="9" fontId="28" fillId="0" borderId="0" xfId="0" applyNumberFormat="1" applyFont="1" applyFill="1" applyBorder="1" applyAlignment="1">
      <alignment horizontal="center"/>
    </xf>
    <xf numFmtId="0" fontId="29" fillId="0" borderId="0" xfId="0" applyFont="1" applyAlignment="1">
      <alignment horizontal="center"/>
    </xf>
    <xf numFmtId="0" fontId="28" fillId="0" borderId="32" xfId="0" applyFont="1" applyBorder="1" applyAlignment="1">
      <alignment horizontal="center"/>
    </xf>
    <xf numFmtId="0" fontId="28" fillId="0" borderId="31" xfId="0" applyFont="1" applyBorder="1" applyAlignment="1">
      <alignment horizontal="center"/>
    </xf>
    <xf numFmtId="0" fontId="28" fillId="0" borderId="31" xfId="0" applyFont="1" applyBorder="1"/>
    <xf numFmtId="0" fontId="28" fillId="0" borderId="31" xfId="0" applyFont="1" applyBorder="1" applyAlignment="1">
      <alignment horizontal="left" vertical="center"/>
    </xf>
    <xf numFmtId="9" fontId="28" fillId="0" borderId="31" xfId="0" applyNumberFormat="1" applyFont="1" applyBorder="1" applyAlignment="1">
      <alignment horizontal="center"/>
    </xf>
    <xf numFmtId="0" fontId="28" fillId="0" borderId="8" xfId="0" applyFont="1" applyBorder="1" applyAlignment="1">
      <alignment horizontal="center"/>
    </xf>
    <xf numFmtId="3" fontId="28" fillId="0" borderId="0" xfId="0" applyNumberFormat="1" applyFont="1"/>
    <xf numFmtId="0" fontId="28" fillId="0" borderId="8" xfId="0" applyFont="1" applyBorder="1"/>
    <xf numFmtId="0" fontId="28" fillId="0" borderId="8" xfId="0" applyFont="1" applyBorder="1" applyAlignment="1">
      <alignment vertical="center" wrapText="1"/>
    </xf>
    <xf numFmtId="9" fontId="28" fillId="0" borderId="8" xfId="0" applyNumberFormat="1" applyFont="1" applyBorder="1"/>
    <xf numFmtId="0" fontId="28" fillId="0" borderId="5" xfId="0" applyFont="1" applyBorder="1"/>
    <xf numFmtId="9" fontId="28" fillId="0" borderId="0" xfId="0" applyNumberFormat="1" applyFont="1" applyAlignment="1">
      <alignment vertical="center" wrapText="1"/>
    </xf>
    <xf numFmtId="16" fontId="28" fillId="0" borderId="0" xfId="0" applyNumberFormat="1" applyFont="1" applyAlignment="1">
      <alignment vertical="center" wrapText="1"/>
    </xf>
    <xf numFmtId="0" fontId="28" fillId="0" borderId="8" xfId="0" applyFont="1" applyFill="1" applyBorder="1"/>
    <xf numFmtId="9" fontId="28" fillId="0" borderId="8" xfId="0" applyNumberFormat="1" applyFont="1" applyFill="1" applyBorder="1"/>
    <xf numFmtId="0" fontId="7" fillId="0" borderId="0" xfId="0" applyFont="1"/>
    <xf numFmtId="9" fontId="28" fillId="0" borderId="0" xfId="0" applyNumberFormat="1" applyFont="1" applyBorder="1"/>
    <xf numFmtId="0" fontId="28" fillId="0" borderId="12" xfId="0" applyFont="1" applyBorder="1"/>
    <xf numFmtId="0" fontId="28" fillId="0" borderId="0" xfId="0" applyFont="1" applyBorder="1" applyAlignment="1">
      <alignment horizontal="left" vertical="top" wrapText="1" indent="2"/>
    </xf>
    <xf numFmtId="0" fontId="7" fillId="0" borderId="0" xfId="0" applyFont="1" applyBorder="1"/>
    <xf numFmtId="164" fontId="28" fillId="2" borderId="39" xfId="0" applyNumberFormat="1" applyFont="1" applyFill="1" applyBorder="1" applyAlignment="1">
      <alignment horizontal="center" vertical="top" wrapText="1"/>
    </xf>
    <xf numFmtId="0" fontId="0" fillId="0" borderId="0" xfId="0" applyAlignment="1">
      <alignment wrapText="1"/>
    </xf>
    <xf numFmtId="0" fontId="26" fillId="0" borderId="0" xfId="0" applyFont="1" applyAlignment="1">
      <alignment wrapText="1"/>
    </xf>
    <xf numFmtId="0" fontId="0" fillId="0" borderId="0" xfId="0" applyAlignment="1">
      <alignment wrapText="1"/>
    </xf>
    <xf numFmtId="49" fontId="26" fillId="0" borderId="0" xfId="0" applyNumberFormat="1" applyFont="1" applyAlignment="1">
      <alignment wrapText="1"/>
    </xf>
    <xf numFmtId="0" fontId="25" fillId="0" borderId="0" xfId="0" applyFont="1" applyAlignment="1">
      <alignment wrapText="1"/>
    </xf>
    <xf numFmtId="0" fontId="0" fillId="0" borderId="0" xfId="0" applyAlignment="1"/>
    <xf numFmtId="0" fontId="13" fillId="2" borderId="43"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4" fillId="0" borderId="0" xfId="0" applyFont="1" applyAlignment="1">
      <alignment wrapText="1"/>
    </xf>
    <xf numFmtId="0" fontId="17" fillId="0" borderId="18" xfId="0" applyFont="1" applyBorder="1" applyAlignment="1">
      <alignment vertical="top"/>
    </xf>
    <xf numFmtId="0" fontId="17" fillId="0" borderId="47" xfId="0" applyFont="1" applyBorder="1" applyAlignment="1"/>
    <xf numFmtId="0" fontId="17" fillId="0" borderId="47" xfId="0" applyFont="1" applyBorder="1" applyAlignment="1">
      <alignment vertical="top" wrapText="1"/>
    </xf>
    <xf numFmtId="0" fontId="17" fillId="0" borderId="47" xfId="0" applyFont="1" applyBorder="1" applyAlignment="1">
      <alignment vertical="top"/>
    </xf>
    <xf numFmtId="0" fontId="17" fillId="0" borderId="47" xfId="0" applyFont="1" applyBorder="1" applyAlignment="1">
      <alignment wrapText="1"/>
    </xf>
    <xf numFmtId="0" fontId="17" fillId="0" borderId="49" xfId="0" applyFont="1" applyBorder="1" applyAlignment="1">
      <alignment vertical="top" wrapText="1"/>
    </xf>
    <xf numFmtId="0" fontId="14" fillId="5" borderId="52" xfId="0" applyFont="1" applyFill="1" applyBorder="1" applyAlignment="1"/>
    <xf numFmtId="0" fontId="14" fillId="5" borderId="53" xfId="0" applyFont="1" applyFill="1" applyBorder="1" applyAlignment="1"/>
    <xf numFmtId="0" fontId="12" fillId="0" borderId="53" xfId="0" applyFont="1" applyBorder="1" applyAlignment="1"/>
    <xf numFmtId="0" fontId="15" fillId="5" borderId="52" xfId="0" applyFont="1" applyFill="1" applyBorder="1" applyAlignment="1">
      <alignment wrapText="1"/>
    </xf>
    <xf numFmtId="0" fontId="15" fillId="5" borderId="53" xfId="0" applyFont="1" applyFill="1" applyBorder="1" applyAlignment="1">
      <alignment wrapText="1"/>
    </xf>
    <xf numFmtId="0" fontId="44" fillId="0" borderId="0" xfId="0" applyFont="1" applyAlignment="1">
      <alignment horizontal="left" vertical="center" wrapText="1" readingOrder="1"/>
    </xf>
    <xf numFmtId="0" fontId="28" fillId="4" borderId="54" xfId="0" applyFont="1" applyFill="1" applyBorder="1"/>
    <xf numFmtId="0" fontId="28" fillId="0" borderId="57" xfId="0" applyFont="1" applyBorder="1" applyAlignment="1">
      <alignment horizontal="center" vertical="center" wrapText="1"/>
    </xf>
    <xf numFmtId="2" fontId="28" fillId="3" borderId="57" xfId="0" applyNumberFormat="1" applyFont="1" applyFill="1" applyBorder="1" applyAlignment="1">
      <alignment horizontal="center" vertical="center" wrapText="1"/>
    </xf>
    <xf numFmtId="2" fontId="28" fillId="2" borderId="57" xfId="0" applyNumberFormat="1" applyFont="1" applyFill="1" applyBorder="1" applyAlignment="1">
      <alignment horizontal="center" vertical="center" wrapText="1"/>
    </xf>
    <xf numFmtId="0" fontId="28" fillId="3" borderId="57" xfId="0" applyFont="1" applyFill="1" applyBorder="1" applyAlignment="1">
      <alignment vertical="center" wrapText="1"/>
    </xf>
    <xf numFmtId="0" fontId="28" fillId="3" borderId="57" xfId="0" applyFont="1" applyFill="1" applyBorder="1" applyAlignment="1">
      <alignment horizontal="center" vertical="center" wrapText="1"/>
    </xf>
    <xf numFmtId="0" fontId="28" fillId="0" borderId="57" xfId="0" applyFont="1" applyBorder="1" applyAlignment="1">
      <alignment horizontal="center" wrapText="1"/>
    </xf>
    <xf numFmtId="0" fontId="28" fillId="2" borderId="57" xfId="0" applyFont="1" applyFill="1" applyBorder="1" applyAlignment="1">
      <alignment horizontal="center" vertical="center" wrapText="1"/>
    </xf>
    <xf numFmtId="164" fontId="28" fillId="4" borderId="39" xfId="0" applyNumberFormat="1" applyFont="1" applyFill="1" applyBorder="1" applyAlignment="1" applyProtection="1">
      <alignment horizontal="center" vertical="center"/>
      <protection locked="0"/>
    </xf>
    <xf numFmtId="0" fontId="36" fillId="0" borderId="0" xfId="0" applyFont="1" applyFill="1" applyBorder="1" applyAlignment="1" applyProtection="1">
      <alignment horizontal="center" vertical="center" wrapText="1"/>
    </xf>
    <xf numFmtId="1" fontId="31" fillId="3" borderId="57" xfId="0" applyNumberFormat="1" applyFont="1" applyFill="1" applyBorder="1" applyAlignment="1">
      <alignment horizontal="center" vertical="center" wrapText="1"/>
    </xf>
    <xf numFmtId="0" fontId="6" fillId="0" borderId="0" xfId="0" applyFont="1" applyBorder="1" applyAlignment="1">
      <alignment vertical="center" wrapText="1"/>
    </xf>
    <xf numFmtId="168" fontId="28" fillId="2" borderId="20" xfId="0" applyNumberFormat="1" applyFont="1" applyFill="1" applyBorder="1" applyAlignment="1" applyProtection="1">
      <alignment horizontal="center" vertical="center" wrapText="1"/>
      <protection locked="0"/>
    </xf>
    <xf numFmtId="168" fontId="28" fillId="2" borderId="39" xfId="0" applyNumberFormat="1" applyFont="1" applyFill="1" applyBorder="1" applyAlignment="1" applyProtection="1">
      <alignment horizontal="center" vertical="center"/>
      <protection locked="0"/>
    </xf>
    <xf numFmtId="49" fontId="26" fillId="0" borderId="0" xfId="0" applyNumberFormat="1" applyFont="1" applyBorder="1" applyAlignment="1">
      <alignment vertical="center"/>
    </xf>
    <xf numFmtId="0" fontId="26" fillId="0" borderId="0" xfId="0" applyFont="1" applyBorder="1" applyAlignment="1">
      <alignment horizontal="left" vertical="center"/>
    </xf>
    <xf numFmtId="0" fontId="28" fillId="3" borderId="57" xfId="0" applyFont="1" applyFill="1" applyBorder="1" applyAlignment="1">
      <alignment horizontal="center" vertical="center" wrapText="1"/>
    </xf>
    <xf numFmtId="0" fontId="28" fillId="0" borderId="57" xfId="0" applyFont="1" applyFill="1" applyBorder="1" applyAlignment="1">
      <alignment horizontal="center" vertical="top" wrapText="1"/>
    </xf>
    <xf numFmtId="2" fontId="28" fillId="2" borderId="57" xfId="0" applyNumberFormat="1" applyFont="1" applyFill="1" applyBorder="1" applyAlignment="1">
      <alignment horizontal="center" vertical="top" wrapText="1"/>
    </xf>
    <xf numFmtId="0" fontId="0" fillId="2" borderId="57" xfId="0" applyFill="1" applyBorder="1"/>
    <xf numFmtId="0" fontId="28" fillId="2" borderId="57" xfId="0" applyFont="1" applyFill="1" applyBorder="1" applyAlignment="1">
      <alignment horizontal="center" vertical="top" wrapText="1"/>
    </xf>
    <xf numFmtId="0" fontId="28" fillId="3" borderId="57" xfId="0" applyFont="1" applyFill="1" applyBorder="1" applyAlignment="1">
      <alignment horizontal="center" vertical="top" wrapText="1"/>
    </xf>
    <xf numFmtId="166" fontId="28" fillId="2" borderId="57" xfId="0" applyNumberFormat="1" applyFont="1" applyFill="1" applyBorder="1" applyAlignment="1">
      <alignment horizontal="center" vertical="top" wrapText="1"/>
    </xf>
    <xf numFmtId="0" fontId="28" fillId="13" borderId="57" xfId="0" applyFont="1" applyFill="1" applyBorder="1" applyAlignment="1">
      <alignment horizontal="center" vertical="top" wrapText="1"/>
    </xf>
    <xf numFmtId="167" fontId="28" fillId="3" borderId="57" xfId="2" applyNumberFormat="1" applyFont="1" applyFill="1" applyBorder="1" applyAlignment="1">
      <alignment horizontal="center" vertical="top" wrapText="1"/>
    </xf>
    <xf numFmtId="0" fontId="28" fillId="4" borderId="57" xfId="0" applyFont="1" applyFill="1" applyBorder="1" applyAlignment="1">
      <alignment horizontal="center" vertical="top" wrapText="1"/>
    </xf>
    <xf numFmtId="0" fontId="28" fillId="15" borderId="57" xfId="0" applyFont="1" applyFill="1" applyBorder="1" applyAlignment="1">
      <alignment horizontal="center" vertical="top" wrapText="1"/>
    </xf>
    <xf numFmtId="3" fontId="28" fillId="4" borderId="57" xfId="0" applyNumberFormat="1" applyFont="1" applyFill="1" applyBorder="1" applyAlignment="1">
      <alignment horizontal="center" vertical="top" wrapText="1"/>
    </xf>
    <xf numFmtId="3" fontId="28" fillId="15" borderId="57" xfId="0" applyNumberFormat="1" applyFont="1" applyFill="1" applyBorder="1" applyAlignment="1">
      <alignment horizontal="center" vertical="top" wrapText="1"/>
    </xf>
    <xf numFmtId="3" fontId="28" fillId="15" borderId="57" xfId="0" applyNumberFormat="1" applyFont="1" applyFill="1" applyBorder="1" applyAlignment="1">
      <alignment horizontal="center"/>
    </xf>
    <xf numFmtId="3" fontId="28" fillId="4" borderId="57" xfId="0" applyNumberFormat="1" applyFont="1" applyFill="1" applyBorder="1" applyAlignment="1">
      <alignment horizontal="center"/>
    </xf>
    <xf numFmtId="165" fontId="7" fillId="15" borderId="57" xfId="0" applyNumberFormat="1" applyFont="1" applyFill="1" applyBorder="1" applyAlignment="1">
      <alignment horizontal="center" vertical="top" wrapText="1"/>
    </xf>
    <xf numFmtId="165" fontId="7" fillId="4" borderId="57" xfId="0" applyNumberFormat="1" applyFont="1" applyFill="1" applyBorder="1" applyAlignment="1">
      <alignment horizontal="center" vertical="top" wrapText="1"/>
    </xf>
    <xf numFmtId="0" fontId="45" fillId="0" borderId="0" xfId="0" applyFont="1"/>
    <xf numFmtId="0" fontId="7" fillId="16" borderId="40" xfId="0" applyFont="1" applyFill="1" applyBorder="1" applyAlignment="1">
      <alignment wrapText="1"/>
    </xf>
    <xf numFmtId="0" fontId="7" fillId="16" borderId="41" xfId="0" applyFont="1" applyFill="1" applyBorder="1" applyAlignment="1">
      <alignment wrapText="1"/>
    </xf>
    <xf numFmtId="0" fontId="7" fillId="16" borderId="42" xfId="0" applyFont="1" applyFill="1" applyBorder="1" applyAlignment="1">
      <alignment wrapText="1"/>
    </xf>
    <xf numFmtId="0" fontId="0" fillId="0" borderId="0" xfId="0"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25" fillId="0" borderId="0" xfId="0" applyFont="1" applyAlignment="1">
      <alignment horizontal="left" wrapText="1"/>
    </xf>
    <xf numFmtId="0" fontId="7" fillId="16" borderId="44" xfId="0" applyFont="1" applyFill="1" applyBorder="1" applyAlignment="1">
      <alignment wrapText="1"/>
    </xf>
    <xf numFmtId="0" fontId="7" fillId="16" borderId="45" xfId="0" applyFont="1" applyFill="1" applyBorder="1" applyAlignment="1">
      <alignment wrapText="1"/>
    </xf>
    <xf numFmtId="0" fontId="7" fillId="16" borderId="46" xfId="0" applyFont="1" applyFill="1" applyBorder="1" applyAlignment="1">
      <alignment wrapText="1"/>
    </xf>
    <xf numFmtId="0" fontId="0" fillId="0" borderId="13" xfId="0" applyBorder="1" applyAlignment="1">
      <alignment horizontal="left" wrapText="1"/>
    </xf>
    <xf numFmtId="0" fontId="0" fillId="0" borderId="19" xfId="0" applyBorder="1" applyAlignment="1">
      <alignment horizontal="left" wrapText="1"/>
    </xf>
    <xf numFmtId="0" fontId="0" fillId="0" borderId="43" xfId="0" applyBorder="1" applyAlignment="1">
      <alignment horizontal="left"/>
    </xf>
    <xf numFmtId="0" fontId="0" fillId="0" borderId="48" xfId="0" applyBorder="1" applyAlignment="1">
      <alignment horizontal="left"/>
    </xf>
    <xf numFmtId="0" fontId="0" fillId="0" borderId="43" xfId="0" applyBorder="1" applyAlignment="1">
      <alignment horizontal="left" wrapText="1"/>
    </xf>
    <xf numFmtId="0" fontId="0" fillId="0" borderId="48" xfId="0" applyBorder="1" applyAlignment="1">
      <alignment horizontal="left" wrapText="1"/>
    </xf>
    <xf numFmtId="0" fontId="0" fillId="0" borderId="43" xfId="0" applyBorder="1" applyAlignment="1">
      <alignment horizontal="left" vertical="top" wrapText="1"/>
    </xf>
    <xf numFmtId="0" fontId="0" fillId="0" borderId="48" xfId="0" applyBorder="1" applyAlignment="1">
      <alignment horizontal="left" vertical="top" wrapText="1"/>
    </xf>
    <xf numFmtId="0" fontId="0" fillId="0" borderId="50" xfId="0" applyBorder="1" applyAlignment="1">
      <alignment horizontal="left" wrapText="1"/>
    </xf>
    <xf numFmtId="0" fontId="0" fillId="0" borderId="51" xfId="0" applyBorder="1" applyAlignment="1">
      <alignment horizontal="left" wrapText="1"/>
    </xf>
    <xf numFmtId="0" fontId="28" fillId="0" borderId="20" xfId="0" applyFont="1" applyFill="1" applyBorder="1" applyAlignment="1" applyProtection="1">
      <alignment horizontal="left" vertical="top" wrapText="1"/>
    </xf>
    <xf numFmtId="0" fontId="28" fillId="2" borderId="20" xfId="0" applyFont="1" applyFill="1" applyBorder="1" applyAlignment="1" applyProtection="1">
      <alignment horizontal="left" vertical="top" wrapText="1"/>
      <protection locked="0"/>
    </xf>
    <xf numFmtId="0" fontId="7" fillId="0" borderId="20" xfId="0" applyFont="1" applyFill="1" applyBorder="1" applyAlignment="1">
      <alignment horizontal="left" vertical="center" wrapText="1"/>
    </xf>
    <xf numFmtId="0" fontId="28" fillId="2" borderId="20" xfId="0" applyFont="1" applyFill="1" applyBorder="1" applyAlignment="1">
      <alignment horizontal="left" vertical="center" wrapText="1"/>
    </xf>
    <xf numFmtId="0" fontId="28" fillId="0" borderId="31" xfId="0" applyFont="1" applyBorder="1" applyAlignment="1">
      <alignment horizontal="left"/>
    </xf>
    <xf numFmtId="0" fontId="28" fillId="0" borderId="38" xfId="0" applyFont="1" applyBorder="1" applyAlignment="1">
      <alignment horizontal="left"/>
    </xf>
    <xf numFmtId="0" fontId="28" fillId="0" borderId="13" xfId="0" applyFont="1" applyBorder="1" applyAlignment="1">
      <alignment horizontal="left"/>
    </xf>
    <xf numFmtId="0" fontId="7" fillId="0" borderId="34" xfId="0" applyFont="1" applyBorder="1" applyAlignment="1">
      <alignment horizontal="center"/>
    </xf>
    <xf numFmtId="0" fontId="7" fillId="0" borderId="35" xfId="0" applyFont="1" applyBorder="1" applyAlignment="1">
      <alignment horizontal="center"/>
    </xf>
    <xf numFmtId="0" fontId="7" fillId="0" borderId="13" xfId="0" applyFont="1" applyBorder="1" applyAlignment="1">
      <alignment horizontal="center" vertical="center"/>
    </xf>
    <xf numFmtId="0" fontId="7" fillId="0" borderId="20" xfId="0" applyFont="1" applyBorder="1" applyAlignment="1">
      <alignment horizontal="center" vertical="center"/>
    </xf>
    <xf numFmtId="0" fontId="27" fillId="0" borderId="0" xfId="0" applyFont="1" applyFill="1" applyBorder="1" applyAlignment="1" applyProtection="1">
      <alignment horizontal="right" vertical="center" wrapText="1"/>
    </xf>
    <xf numFmtId="2" fontId="28" fillId="2" borderId="20"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right" vertical="top"/>
    </xf>
    <xf numFmtId="0" fontId="28" fillId="0" borderId="0" xfId="0" applyFont="1" applyBorder="1" applyAlignment="1">
      <alignment horizontal="right"/>
    </xf>
    <xf numFmtId="0" fontId="24" fillId="0" borderId="23" xfId="0"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24" fillId="0" borderId="24" xfId="0" applyFont="1" applyBorder="1" applyAlignment="1" applyProtection="1">
      <alignment horizontal="center" vertical="center" wrapText="1"/>
    </xf>
    <xf numFmtId="0" fontId="25" fillId="0" borderId="25" xfId="0" applyFont="1" applyBorder="1" applyAlignment="1" applyProtection="1">
      <alignment horizontal="center" vertical="center"/>
    </xf>
    <xf numFmtId="0" fontId="25" fillId="0" borderId="26" xfId="0" applyFont="1" applyBorder="1" applyAlignment="1" applyProtection="1">
      <alignment horizontal="center" vertical="center"/>
    </xf>
    <xf numFmtId="0" fontId="25" fillId="0" borderId="27" xfId="0" applyFont="1" applyBorder="1" applyAlignment="1" applyProtection="1">
      <alignment horizontal="center" vertical="center"/>
    </xf>
    <xf numFmtId="14" fontId="28" fillId="2" borderId="31"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top"/>
    </xf>
    <xf numFmtId="2" fontId="28" fillId="2" borderId="39" xfId="0" applyNumberFormat="1" applyFont="1" applyFill="1" applyBorder="1" applyAlignment="1" applyProtection="1">
      <alignment horizontal="center" vertical="center"/>
      <protection locked="0"/>
    </xf>
    <xf numFmtId="0" fontId="28" fillId="3" borderId="12" xfId="0" applyFont="1" applyFill="1" applyBorder="1" applyAlignment="1">
      <alignment horizontal="center" vertical="center" wrapText="1"/>
    </xf>
    <xf numFmtId="0" fontId="28" fillId="3" borderId="13" xfId="0" applyFont="1" applyFill="1" applyBorder="1" applyAlignment="1">
      <alignment horizontal="center" vertical="center" wrapText="1"/>
    </xf>
    <xf numFmtId="164" fontId="28" fillId="4" borderId="39" xfId="0" applyNumberFormat="1" applyFont="1" applyFill="1" applyBorder="1" applyAlignment="1" applyProtection="1">
      <alignment horizontal="center" vertical="center"/>
      <protection locked="0"/>
    </xf>
    <xf numFmtId="0" fontId="27" fillId="0" borderId="10" xfId="0" applyFont="1" applyFill="1" applyBorder="1" applyAlignment="1" applyProtection="1">
      <alignment horizontal="right" vertical="center" wrapText="1"/>
    </xf>
    <xf numFmtId="0" fontId="7" fillId="0" borderId="28" xfId="0" applyFont="1" applyBorder="1" applyAlignment="1">
      <alignment horizontal="center" wrapText="1"/>
    </xf>
    <xf numFmtId="0" fontId="28" fillId="2" borderId="38" xfId="0" applyFont="1" applyFill="1" applyBorder="1" applyAlignment="1" applyProtection="1">
      <alignment horizontal="left" vertical="top"/>
      <protection locked="0"/>
    </xf>
    <xf numFmtId="0" fontId="28" fillId="0" borderId="38" xfId="0" applyFont="1" applyFill="1" applyBorder="1" applyAlignment="1" applyProtection="1">
      <alignment horizontal="left" vertical="top" wrapText="1"/>
    </xf>
    <xf numFmtId="49" fontId="28" fillId="2" borderId="31" xfId="0" applyNumberFormat="1" applyFont="1" applyFill="1" applyBorder="1" applyAlignment="1" applyProtection="1">
      <alignment horizontal="center" vertical="center"/>
      <protection locked="0"/>
    </xf>
    <xf numFmtId="0" fontId="27" fillId="0" borderId="20" xfId="0" applyFont="1" applyFill="1" applyBorder="1" applyAlignment="1" applyProtection="1">
      <alignment horizontal="left" vertical="top"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0" xfId="0" applyFont="1" applyBorder="1" applyAlignment="1">
      <alignment horizontal="center" vertical="center" wrapText="1"/>
    </xf>
    <xf numFmtId="0" fontId="28" fillId="2" borderId="32"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28" fillId="0" borderId="5"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21" xfId="0" applyFont="1" applyFill="1" applyBorder="1" applyAlignment="1">
      <alignment horizontal="center" vertical="center"/>
    </xf>
    <xf numFmtId="0" fontId="31" fillId="0" borderId="5"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6" fillId="0" borderId="57" xfId="0" applyFont="1" applyFill="1" applyBorder="1" applyAlignment="1" applyProtection="1">
      <alignment horizontal="left" vertical="center" wrapText="1"/>
    </xf>
    <xf numFmtId="0" fontId="36" fillId="17" borderId="0" xfId="0" applyFont="1" applyFill="1" applyBorder="1" applyAlignment="1" applyProtection="1">
      <alignment horizontal="center" vertical="center" wrapText="1"/>
    </xf>
    <xf numFmtId="0" fontId="7" fillId="0" borderId="31" xfId="0" applyFont="1" applyFill="1" applyBorder="1" applyAlignment="1">
      <alignment horizontal="left" vertical="center" wrapText="1"/>
    </xf>
    <xf numFmtId="0" fontId="28" fillId="2" borderId="31"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2" fillId="0" borderId="5"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2" fillId="0" borderId="21" xfId="0" applyFont="1" applyFill="1" applyBorder="1" applyAlignment="1" applyProtection="1">
      <alignment horizontal="center" vertical="center" wrapText="1"/>
    </xf>
    <xf numFmtId="0" fontId="6" fillId="0" borderId="9" xfId="0" applyFont="1" applyBorder="1" applyAlignment="1">
      <alignment horizontal="left" vertical="center" wrapText="1"/>
    </xf>
    <xf numFmtId="0" fontId="7" fillId="3" borderId="31" xfId="0" applyFont="1" applyFill="1" applyBorder="1" applyAlignment="1">
      <alignment horizontal="left" vertical="center"/>
    </xf>
    <xf numFmtId="0" fontId="22" fillId="0" borderId="31" xfId="0" applyFont="1" applyFill="1" applyBorder="1" applyAlignment="1" applyProtection="1">
      <alignment horizontal="center" vertical="center" wrapText="1"/>
    </xf>
    <xf numFmtId="0" fontId="7" fillId="7"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22" fillId="0" borderId="31" xfId="0" applyFont="1" applyFill="1" applyBorder="1" applyAlignment="1" applyProtection="1">
      <alignment horizontal="left" vertical="center" wrapText="1"/>
    </xf>
    <xf numFmtId="0" fontId="31" fillId="0" borderId="31" xfId="0" applyFont="1" applyFill="1" applyBorder="1" applyAlignment="1">
      <alignment horizontal="left" vertical="center" wrapText="1"/>
    </xf>
    <xf numFmtId="0" fontId="34" fillId="0" borderId="31" xfId="0" applyFont="1" applyFill="1" applyBorder="1" applyAlignment="1" applyProtection="1">
      <alignment horizontal="left" vertical="center" wrapText="1"/>
    </xf>
    <xf numFmtId="0" fontId="31" fillId="0" borderId="31" xfId="0" applyFont="1" applyFill="1" applyBorder="1" applyAlignment="1" applyProtection="1">
      <alignment horizontal="left"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21" xfId="0" applyFont="1" applyFill="1" applyBorder="1" applyAlignment="1">
      <alignment horizontal="left" vertical="center" wrapText="1"/>
    </xf>
    <xf numFmtId="0" fontId="28" fillId="0" borderId="28" xfId="0" applyFont="1" applyFill="1" applyBorder="1" applyAlignment="1">
      <alignment horizontal="center" vertical="center" wrapText="1"/>
    </xf>
    <xf numFmtId="0" fontId="31" fillId="0" borderId="32" xfId="0" applyFont="1" applyFill="1" applyBorder="1" applyAlignment="1" applyProtection="1">
      <alignment horizontal="center" vertical="center" wrapText="1"/>
    </xf>
    <xf numFmtId="0" fontId="31" fillId="0" borderId="30" xfId="0" applyFont="1" applyFill="1" applyBorder="1" applyAlignment="1" applyProtection="1">
      <alignment horizontal="center" vertical="center" wrapText="1"/>
    </xf>
    <xf numFmtId="0" fontId="7" fillId="0" borderId="20" xfId="0" applyFont="1" applyFill="1" applyBorder="1" applyAlignment="1">
      <alignment vertical="center" wrapText="1"/>
    </xf>
    <xf numFmtId="0" fontId="28" fillId="3" borderId="57" xfId="0" applyFont="1" applyFill="1" applyBorder="1" applyAlignment="1">
      <alignment horizontal="center" vertical="center" wrapText="1"/>
    </xf>
    <xf numFmtId="0" fontId="28" fillId="3" borderId="54" xfId="0" applyFont="1" applyFill="1" applyBorder="1" applyAlignment="1">
      <alignment horizontal="center" vertical="center" wrapText="1"/>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7" fillId="0" borderId="4" xfId="0" applyFont="1" applyBorder="1" applyAlignment="1">
      <alignment horizontal="left" vertical="center" wrapText="1"/>
    </xf>
    <xf numFmtId="0" fontId="28" fillId="0" borderId="54" xfId="0" applyFont="1" applyBorder="1" applyAlignment="1">
      <alignment horizontal="center" wrapText="1"/>
    </xf>
    <xf numFmtId="0" fontId="28" fillId="0" borderId="41" xfId="0" applyFont="1" applyBorder="1" applyAlignment="1">
      <alignment horizontal="center" wrapText="1"/>
    </xf>
    <xf numFmtId="0" fontId="28" fillId="0" borderId="42" xfId="0" applyFont="1" applyBorder="1" applyAlignment="1">
      <alignment horizontal="center" wrapText="1"/>
    </xf>
    <xf numFmtId="0" fontId="7" fillId="3" borderId="32" xfId="0" applyFont="1" applyFill="1" applyBorder="1" applyAlignment="1">
      <alignment horizontal="left" vertical="center"/>
    </xf>
    <xf numFmtId="0" fontId="7" fillId="3" borderId="33" xfId="0" applyFont="1" applyFill="1" applyBorder="1" applyAlignment="1">
      <alignment horizontal="left" vertical="center"/>
    </xf>
    <xf numFmtId="0" fontId="7" fillId="3" borderId="30" xfId="0" applyFont="1" applyFill="1" applyBorder="1" applyAlignment="1">
      <alignment horizontal="left" vertical="center"/>
    </xf>
    <xf numFmtId="0" fontId="34" fillId="0" borderId="1" xfId="0" applyFont="1" applyFill="1" applyBorder="1" applyAlignment="1" applyProtection="1">
      <alignment horizontal="left" vertical="center" wrapText="1"/>
    </xf>
    <xf numFmtId="0" fontId="34" fillId="0" borderId="2" xfId="0" applyFont="1" applyFill="1" applyBorder="1" applyAlignment="1" applyProtection="1">
      <alignment horizontal="left" vertical="center" wrapText="1"/>
    </xf>
    <xf numFmtId="0" fontId="34" fillId="0" borderId="11" xfId="0" applyFont="1" applyFill="1" applyBorder="1" applyAlignment="1" applyProtection="1">
      <alignment horizontal="left" vertical="center" wrapText="1"/>
    </xf>
    <xf numFmtId="0" fontId="30" fillId="0" borderId="5"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27" fillId="8" borderId="20" xfId="0" applyFont="1" applyFill="1" applyBorder="1" applyAlignment="1" applyProtection="1">
      <alignment horizontal="left" vertical="center" wrapText="1"/>
    </xf>
    <xf numFmtId="0" fontId="30" fillId="0" borderId="31" xfId="0" applyFont="1" applyFill="1" applyBorder="1" applyAlignment="1" applyProtection="1">
      <alignment horizontal="right" vertical="center" wrapText="1"/>
    </xf>
    <xf numFmtId="0" fontId="31" fillId="3" borderId="31" xfId="0" applyFont="1" applyFill="1" applyBorder="1" applyAlignment="1">
      <alignment horizontal="right" vertical="center"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27" fillId="0" borderId="15" xfId="0" applyFont="1" applyFill="1" applyBorder="1" applyAlignment="1" applyProtection="1">
      <alignment horizontal="left" vertical="center" wrapText="1"/>
    </xf>
    <xf numFmtId="0" fontId="27" fillId="0" borderId="16" xfId="0" applyFont="1" applyFill="1" applyBorder="1" applyAlignment="1" applyProtection="1">
      <alignment horizontal="left" vertical="center" wrapText="1"/>
    </xf>
    <xf numFmtId="0" fontId="27" fillId="0" borderId="17" xfId="0" applyFont="1" applyFill="1" applyBorder="1" applyAlignment="1" applyProtection="1">
      <alignment horizontal="left" vertical="center" wrapText="1"/>
    </xf>
    <xf numFmtId="0" fontId="29" fillId="0" borderId="9" xfId="0" applyFont="1" applyBorder="1" applyAlignment="1">
      <alignment vertical="top" wrapText="1"/>
    </xf>
    <xf numFmtId="0" fontId="28" fillId="0" borderId="8" xfId="0" applyFont="1" applyFill="1" applyBorder="1" applyAlignment="1" applyProtection="1">
      <alignment horizontal="left" vertical="center" wrapText="1"/>
    </xf>
    <xf numFmtId="0" fontId="7" fillId="0" borderId="0" xfId="0" applyFont="1" applyAlignment="1">
      <alignment wrapText="1"/>
    </xf>
    <xf numFmtId="0" fontId="28" fillId="0" borderId="8" xfId="0" applyFont="1" applyBorder="1" applyAlignment="1">
      <alignment horizontal="center" vertical="center" wrapText="1"/>
    </xf>
    <xf numFmtId="0" fontId="7" fillId="0" borderId="4" xfId="0" applyFont="1" applyBorder="1" applyAlignment="1">
      <alignment horizontal="left" wrapText="1"/>
    </xf>
    <xf numFmtId="0" fontId="30" fillId="0" borderId="3" xfId="0" applyFont="1" applyFill="1" applyBorder="1" applyAlignment="1" applyProtection="1">
      <alignment horizontal="left" vertical="center" wrapText="1"/>
    </xf>
    <xf numFmtId="0" fontId="30" fillId="0" borderId="4" xfId="0" applyFont="1" applyFill="1" applyBorder="1" applyAlignment="1" applyProtection="1">
      <alignment horizontal="left" vertical="center" wrapText="1"/>
    </xf>
    <xf numFmtId="0" fontId="30" fillId="0" borderId="14" xfId="0" applyFont="1" applyFill="1" applyBorder="1" applyAlignment="1" applyProtection="1">
      <alignment horizontal="left" vertical="center" wrapText="1"/>
    </xf>
    <xf numFmtId="0" fontId="7" fillId="0" borderId="4" xfId="0" applyFont="1" applyBorder="1" applyAlignment="1">
      <alignment wrapText="1"/>
    </xf>
    <xf numFmtId="0" fontId="7" fillId="3" borderId="5" xfId="0" applyFont="1" applyFill="1" applyBorder="1" applyAlignment="1">
      <alignment horizontal="left" vertical="center"/>
    </xf>
    <xf numFmtId="0" fontId="7" fillId="3" borderId="7" xfId="0" applyFont="1" applyFill="1" applyBorder="1" applyAlignment="1">
      <alignment horizontal="left" vertical="center"/>
    </xf>
    <xf numFmtId="0" fontId="7" fillId="3" borderId="6"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wrapText="1"/>
    </xf>
    <xf numFmtId="0" fontId="7" fillId="0" borderId="38" xfId="0" applyFont="1" applyBorder="1" applyAlignment="1">
      <alignment horizontal="left" vertical="center" wrapText="1"/>
    </xf>
    <xf numFmtId="0" fontId="28" fillId="0" borderId="0" xfId="0" applyFont="1" applyFill="1" applyAlignment="1">
      <alignment horizontal="center" vertical="center" wrapText="1"/>
    </xf>
    <xf numFmtId="0" fontId="34" fillId="0" borderId="15"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7" fillId="0" borderId="2" xfId="0" applyFont="1" applyFill="1" applyBorder="1" applyAlignment="1" applyProtection="1">
      <alignment horizontal="left" vertical="center" wrapText="1"/>
    </xf>
    <xf numFmtId="0" fontId="27" fillId="0" borderId="11" xfId="0" applyFont="1" applyFill="1" applyBorder="1" applyAlignment="1" applyProtection="1">
      <alignment horizontal="left" vertical="center" wrapText="1"/>
    </xf>
    <xf numFmtId="0" fontId="28" fillId="0" borderId="38" xfId="0" applyFont="1" applyBorder="1" applyAlignment="1">
      <alignment horizontal="center" vertical="center" wrapText="1"/>
    </xf>
    <xf numFmtId="0" fontId="28" fillId="0" borderId="20" xfId="0" applyFont="1" applyBorder="1" applyAlignment="1">
      <alignment horizontal="center" wrapText="1"/>
    </xf>
    <xf numFmtId="0" fontId="27" fillId="8" borderId="40" xfId="0" applyFont="1" applyFill="1" applyBorder="1" applyAlignment="1" applyProtection="1">
      <alignment horizontal="left" vertical="center" wrapText="1"/>
    </xf>
    <xf numFmtId="0" fontId="27" fillId="8" borderId="41" xfId="0" applyFont="1" applyFill="1" applyBorder="1" applyAlignment="1" applyProtection="1">
      <alignment horizontal="left" vertical="center" wrapText="1"/>
    </xf>
    <xf numFmtId="0" fontId="27" fillId="8" borderId="42" xfId="0" applyFont="1" applyFill="1" applyBorder="1" applyAlignment="1" applyProtection="1">
      <alignment horizontal="left" vertical="center" wrapText="1"/>
    </xf>
    <xf numFmtId="0" fontId="34" fillId="0" borderId="16" xfId="0" applyFont="1" applyFill="1" applyBorder="1" applyAlignment="1" applyProtection="1">
      <alignment horizontal="left" vertical="center" wrapText="1"/>
    </xf>
    <xf numFmtId="0" fontId="34" fillId="0" borderId="17" xfId="0" applyFont="1" applyFill="1" applyBorder="1" applyAlignment="1" applyProtection="1">
      <alignment horizontal="left" vertical="center" wrapText="1"/>
    </xf>
    <xf numFmtId="0" fontId="34" fillId="0" borderId="15" xfId="0" applyNumberFormat="1" applyFont="1" applyFill="1" applyBorder="1" applyAlignment="1" applyProtection="1">
      <alignment horizontal="left" vertical="center" wrapText="1"/>
    </xf>
    <xf numFmtId="0" fontId="27" fillId="0" borderId="16" xfId="0" applyNumberFormat="1" applyFont="1" applyFill="1" applyBorder="1" applyAlignment="1" applyProtection="1">
      <alignment horizontal="left" vertical="center" wrapText="1"/>
    </xf>
    <xf numFmtId="0" fontId="27" fillId="0" borderId="17" xfId="0" applyNumberFormat="1" applyFont="1" applyFill="1" applyBorder="1" applyAlignment="1" applyProtection="1">
      <alignment horizontal="left" vertical="center" wrapText="1"/>
    </xf>
    <xf numFmtId="0" fontId="22" fillId="0" borderId="15" xfId="0" applyFont="1" applyFill="1" applyBorder="1" applyAlignment="1" applyProtection="1">
      <alignment horizontal="left" vertical="center" wrapText="1"/>
    </xf>
    <xf numFmtId="0" fontId="22" fillId="0" borderId="16" xfId="0" applyFont="1" applyFill="1" applyBorder="1" applyAlignment="1" applyProtection="1">
      <alignment horizontal="left" vertical="center" wrapText="1"/>
    </xf>
    <xf numFmtId="0" fontId="22" fillId="0" borderId="17" xfId="0" applyFont="1" applyFill="1" applyBorder="1" applyAlignment="1" applyProtection="1">
      <alignment horizontal="left" vertical="center" wrapText="1"/>
    </xf>
    <xf numFmtId="0" fontId="28" fillId="0" borderId="0" xfId="0" applyFont="1" applyFill="1" applyBorder="1" applyAlignment="1">
      <alignment vertical="center" wrapText="1"/>
    </xf>
    <xf numFmtId="0" fontId="28" fillId="4" borderId="54" xfId="0" applyFont="1" applyFill="1" applyBorder="1" applyAlignment="1">
      <alignment vertical="center" wrapText="1"/>
    </xf>
    <xf numFmtId="0" fontId="28" fillId="4" borderId="55" xfId="0" applyFont="1" applyFill="1" applyBorder="1" applyAlignment="1">
      <alignment vertical="center" wrapText="1"/>
    </xf>
    <xf numFmtId="0" fontId="28" fillId="4" borderId="56" xfId="0" applyFont="1" applyFill="1" applyBorder="1" applyAlignment="1">
      <alignment vertical="center" wrapText="1"/>
    </xf>
    <xf numFmtId="0" fontId="27" fillId="8" borderId="32" xfId="0" applyFont="1" applyFill="1" applyBorder="1" applyAlignment="1" applyProtection="1">
      <alignment horizontal="left" vertical="center" wrapText="1"/>
    </xf>
    <xf numFmtId="0" fontId="27" fillId="8" borderId="33" xfId="0" applyFont="1" applyFill="1" applyBorder="1" applyAlignment="1" applyProtection="1">
      <alignment horizontal="left" vertical="center" wrapText="1"/>
    </xf>
    <xf numFmtId="0" fontId="27" fillId="8" borderId="30" xfId="0" applyFont="1" applyFill="1" applyBorder="1" applyAlignment="1" applyProtection="1">
      <alignment horizontal="left" vertical="center" wrapText="1"/>
    </xf>
    <xf numFmtId="0" fontId="7" fillId="7" borderId="54" xfId="0" applyFont="1" applyFill="1" applyBorder="1" applyAlignment="1">
      <alignment horizontal="left" vertical="center" wrapText="1"/>
    </xf>
    <xf numFmtId="0" fontId="7" fillId="7" borderId="55" xfId="0" applyFont="1" applyFill="1" applyBorder="1" applyAlignment="1">
      <alignment horizontal="left" vertical="center" wrapText="1"/>
    </xf>
    <xf numFmtId="0" fontId="7" fillId="7" borderId="56" xfId="0" applyFont="1" applyFill="1" applyBorder="1" applyAlignment="1">
      <alignment horizontal="left" vertical="center" wrapText="1"/>
    </xf>
    <xf numFmtId="0" fontId="7" fillId="4" borderId="54" xfId="0" applyFont="1" applyFill="1" applyBorder="1" applyAlignment="1">
      <alignment horizontal="center"/>
    </xf>
    <xf numFmtId="0" fontId="7" fillId="4" borderId="56" xfId="0" applyFont="1" applyFill="1" applyBorder="1" applyAlignment="1">
      <alignment horizontal="center"/>
    </xf>
    <xf numFmtId="0" fontId="28" fillId="4" borderId="54" xfId="0" applyFont="1" applyFill="1" applyBorder="1" applyAlignment="1">
      <alignment horizontal="center"/>
    </xf>
    <xf numFmtId="0" fontId="28" fillId="4" borderId="56" xfId="0" applyFont="1" applyFill="1" applyBorder="1" applyAlignment="1">
      <alignment horizontal="center"/>
    </xf>
    <xf numFmtId="0" fontId="22" fillId="3" borderId="5" xfId="0" applyFont="1" applyFill="1" applyBorder="1" applyAlignment="1" applyProtection="1">
      <alignment horizontal="center" vertical="center" wrapText="1"/>
    </xf>
    <xf numFmtId="0" fontId="22" fillId="3" borderId="7" xfId="0" applyFont="1" applyFill="1" applyBorder="1" applyAlignment="1" applyProtection="1">
      <alignment horizontal="center" vertical="center" wrapText="1"/>
    </xf>
    <xf numFmtId="0" fontId="22" fillId="3" borderId="21" xfId="0" applyFont="1" applyFill="1" applyBorder="1" applyAlignment="1" applyProtection="1">
      <alignment horizontal="center" vertical="center" wrapText="1"/>
    </xf>
    <xf numFmtId="0" fontId="7" fillId="13" borderId="5" xfId="0" applyFont="1" applyFill="1" applyBorder="1" applyAlignment="1">
      <alignment horizontal="center"/>
    </xf>
    <xf numFmtId="0" fontId="7" fillId="13" borderId="7" xfId="0" applyFont="1" applyFill="1" applyBorder="1" applyAlignment="1">
      <alignment horizontal="center"/>
    </xf>
    <xf numFmtId="0" fontId="7" fillId="13" borderId="21" xfId="0" applyFont="1" applyFill="1" applyBorder="1" applyAlignment="1">
      <alignment horizontal="center"/>
    </xf>
    <xf numFmtId="0" fontId="7" fillId="13" borderId="3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29" fillId="0" borderId="9" xfId="0" applyFont="1" applyBorder="1" applyAlignment="1">
      <alignment horizontal="left" vertical="top" wrapText="1"/>
    </xf>
    <xf numFmtId="0" fontId="0" fillId="0" borderId="31" xfId="0" applyFont="1" applyBorder="1" applyAlignment="1">
      <alignment vertical="top" wrapText="1"/>
    </xf>
    <xf numFmtId="0" fontId="28" fillId="4" borderId="55" xfId="0" applyFont="1" applyFill="1" applyBorder="1" applyAlignment="1">
      <alignment horizontal="center"/>
    </xf>
    <xf numFmtId="0" fontId="25" fillId="18" borderId="58" xfId="0" applyFont="1" applyFill="1" applyBorder="1" applyAlignment="1">
      <alignment horizontal="left" vertical="top" wrapText="1"/>
    </xf>
    <xf numFmtId="0" fontId="25" fillId="18" borderId="59" xfId="0" applyFont="1" applyFill="1" applyBorder="1" applyAlignment="1">
      <alignment horizontal="left" vertical="top" wrapText="1"/>
    </xf>
    <xf numFmtId="0" fontId="25" fillId="18" borderId="60" xfId="0" applyFont="1" applyFill="1" applyBorder="1" applyAlignment="1">
      <alignment horizontal="left" vertical="top" wrapText="1"/>
    </xf>
    <xf numFmtId="0" fontId="25" fillId="18" borderId="61" xfId="0" applyFont="1" applyFill="1" applyBorder="1" applyAlignment="1">
      <alignment horizontal="left" vertical="top" wrapText="1"/>
    </xf>
    <xf numFmtId="0" fontId="25" fillId="18" borderId="0" xfId="0" applyFont="1" applyFill="1" applyBorder="1" applyAlignment="1">
      <alignment horizontal="left" vertical="top" wrapText="1"/>
    </xf>
    <xf numFmtId="0" fontId="25" fillId="18" borderId="10" xfId="0" applyFont="1" applyFill="1" applyBorder="1" applyAlignment="1">
      <alignment horizontal="left" vertical="top" wrapText="1"/>
    </xf>
    <xf numFmtId="0" fontId="25" fillId="18" borderId="3" xfId="0" applyFont="1" applyFill="1" applyBorder="1" applyAlignment="1">
      <alignment horizontal="left" vertical="top" wrapText="1"/>
    </xf>
    <xf numFmtId="0" fontId="25" fillId="18" borderId="4" xfId="0" applyFont="1" applyFill="1" applyBorder="1" applyAlignment="1">
      <alignment horizontal="left" vertical="top" wrapText="1"/>
    </xf>
    <xf numFmtId="0" fontId="25" fillId="18" borderId="14" xfId="0" applyFont="1" applyFill="1" applyBorder="1" applyAlignment="1">
      <alignment horizontal="left" vertical="top" wrapText="1"/>
    </xf>
    <xf numFmtId="0" fontId="27" fillId="8" borderId="4" xfId="0" applyFont="1" applyFill="1" applyBorder="1" applyAlignment="1" applyProtection="1">
      <alignment horizontal="left" vertical="center" wrapText="1"/>
    </xf>
    <xf numFmtId="0" fontId="22" fillId="11" borderId="31" xfId="0" applyFont="1" applyFill="1" applyBorder="1" applyAlignment="1">
      <alignment horizontal="left" vertical="center" wrapText="1"/>
    </xf>
    <xf numFmtId="0" fontId="26" fillId="7" borderId="31" xfId="0" applyFont="1" applyFill="1" applyBorder="1" applyAlignment="1" applyProtection="1">
      <alignment horizontal="center" vertical="center" wrapText="1"/>
    </xf>
    <xf numFmtId="0" fontId="28" fillId="3" borderId="31" xfId="0" applyFont="1" applyFill="1" applyBorder="1" applyAlignment="1" applyProtection="1">
      <alignment horizontal="center" vertical="center" wrapText="1"/>
    </xf>
    <xf numFmtId="0" fontId="26" fillId="7" borderId="32" xfId="0" applyFont="1" applyFill="1" applyBorder="1" applyAlignment="1" applyProtection="1">
      <alignment horizontal="center" vertical="center" wrapText="1"/>
    </xf>
    <xf numFmtId="0" fontId="26" fillId="7" borderId="30" xfId="0" applyFont="1" applyFill="1" applyBorder="1" applyAlignment="1" applyProtection="1">
      <alignment horizontal="center" vertical="center" wrapText="1"/>
    </xf>
    <xf numFmtId="0" fontId="28" fillId="3" borderId="32" xfId="0" applyFont="1" applyFill="1" applyBorder="1" applyAlignment="1" applyProtection="1">
      <alignment horizontal="center" vertical="center" wrapText="1"/>
    </xf>
    <xf numFmtId="0" fontId="28" fillId="3" borderId="30" xfId="0" applyFont="1" applyFill="1" applyBorder="1" applyAlignment="1" applyProtection="1">
      <alignment horizontal="center" vertical="center" wrapText="1"/>
    </xf>
    <xf numFmtId="0" fontId="26" fillId="7" borderId="33" xfId="0" applyFont="1" applyFill="1" applyBorder="1" applyAlignment="1" applyProtection="1">
      <alignment horizontal="center" vertical="center" wrapText="1"/>
    </xf>
    <xf numFmtId="0" fontId="28" fillId="3" borderId="33" xfId="0" applyFont="1" applyFill="1" applyBorder="1" applyAlignment="1" applyProtection="1">
      <alignment horizontal="center" vertical="center" wrapText="1"/>
    </xf>
    <xf numFmtId="0" fontId="0" fillId="0" borderId="0" xfId="0" applyBorder="1" applyAlignment="1">
      <alignment horizontal="center" wrapText="1"/>
    </xf>
    <xf numFmtId="164" fontId="26" fillId="7" borderId="31" xfId="0" applyNumberFormat="1" applyFont="1" applyFill="1" applyBorder="1" applyAlignment="1" applyProtection="1">
      <alignment horizontal="center" vertical="center" wrapText="1"/>
    </xf>
    <xf numFmtId="164" fontId="28" fillId="3" borderId="31" xfId="0" applyNumberFormat="1" applyFont="1" applyFill="1" applyBorder="1" applyAlignment="1" applyProtection="1">
      <alignment horizontal="center" vertical="center" wrapText="1"/>
    </xf>
    <xf numFmtId="2" fontId="26" fillId="7" borderId="31" xfId="0" applyNumberFormat="1" applyFont="1" applyFill="1" applyBorder="1" applyAlignment="1" applyProtection="1">
      <alignment horizontal="center" vertical="center" wrapText="1"/>
    </xf>
    <xf numFmtId="0" fontId="28" fillId="12" borderId="31" xfId="0" applyFont="1" applyFill="1" applyBorder="1" applyAlignment="1">
      <alignment horizontal="center" vertical="center" wrapText="1"/>
    </xf>
    <xf numFmtId="0" fontId="7" fillId="14" borderId="54" xfId="0" applyFont="1" applyFill="1" applyBorder="1" applyAlignment="1">
      <alignment horizontal="left" vertical="center"/>
    </xf>
    <xf numFmtId="0" fontId="7" fillId="14" borderId="55" xfId="0" applyFont="1" applyFill="1" applyBorder="1" applyAlignment="1">
      <alignment horizontal="left" vertical="center"/>
    </xf>
    <xf numFmtId="0" fontId="7" fillId="14" borderId="56" xfId="0" applyFont="1" applyFill="1" applyBorder="1" applyAlignment="1">
      <alignment horizontal="left" vertical="center"/>
    </xf>
    <xf numFmtId="0" fontId="27" fillId="8" borderId="31" xfId="0" applyFont="1" applyFill="1" applyBorder="1" applyAlignment="1" applyProtection="1">
      <alignment horizontal="left" vertical="center" wrapText="1"/>
    </xf>
    <xf numFmtId="0" fontId="28" fillId="3" borderId="54" xfId="0" applyFont="1" applyFill="1" applyBorder="1" applyAlignment="1" applyProtection="1">
      <alignment horizontal="center" vertical="center" wrapText="1"/>
    </xf>
    <xf numFmtId="0" fontId="28" fillId="3" borderId="55" xfId="0" applyFont="1" applyFill="1" applyBorder="1" applyAlignment="1" applyProtection="1">
      <alignment horizontal="center" vertical="center" wrapText="1"/>
    </xf>
    <xf numFmtId="0" fontId="28" fillId="3" borderId="56" xfId="0" applyFont="1" applyFill="1" applyBorder="1" applyAlignment="1" applyProtection="1">
      <alignment horizontal="center" vertical="center" wrapText="1"/>
    </xf>
    <xf numFmtId="3" fontId="0" fillId="0" borderId="9" xfId="0" applyNumberFormat="1" applyBorder="1" applyAlignment="1">
      <alignment vertical="center" wrapText="1"/>
    </xf>
    <xf numFmtId="3" fontId="0" fillId="0" borderId="0" xfId="0" applyNumberFormat="1" applyBorder="1" applyAlignment="1">
      <alignment vertical="center" wrapText="1"/>
    </xf>
    <xf numFmtId="0" fontId="22" fillId="3" borderId="8" xfId="0" applyFont="1" applyFill="1" applyBorder="1" applyAlignment="1">
      <alignment horizontal="center" vertical="center" wrapText="1"/>
    </xf>
    <xf numFmtId="0" fontId="22" fillId="13" borderId="8" xfId="0" applyFont="1" applyFill="1" applyBorder="1" applyAlignment="1">
      <alignment horizontal="center" vertical="center" wrapText="1"/>
    </xf>
    <xf numFmtId="9" fontId="7" fillId="3" borderId="31" xfId="3" applyFont="1" applyFill="1" applyBorder="1" applyAlignment="1">
      <alignment horizontal="center" vertical="center" wrapText="1"/>
    </xf>
    <xf numFmtId="0" fontId="6" fillId="0" borderId="0" xfId="0" applyFont="1" applyAlignment="1">
      <alignment horizontal="left" vertical="center" wrapText="1"/>
    </xf>
    <xf numFmtId="0" fontId="28" fillId="0" borderId="39" xfId="0" applyFont="1" applyBorder="1" applyAlignment="1">
      <alignment horizontal="center"/>
    </xf>
    <xf numFmtId="0" fontId="28" fillId="0" borderId="32" xfId="0" applyFont="1" applyBorder="1" applyAlignment="1">
      <alignment horizontal="center"/>
    </xf>
    <xf numFmtId="0" fontId="28" fillId="0" borderId="30" xfId="0" applyFont="1" applyBorder="1" applyAlignment="1">
      <alignment horizontal="center"/>
    </xf>
    <xf numFmtId="0" fontId="30" fillId="0" borderId="0" xfId="0" applyFont="1" applyFill="1" applyBorder="1" applyAlignment="1" applyProtection="1">
      <alignment horizontal="left" vertical="center" wrapText="1"/>
    </xf>
    <xf numFmtId="0" fontId="7" fillId="0" borderId="32" xfId="0" applyFont="1" applyBorder="1" applyAlignment="1">
      <alignment horizontal="center" wrapText="1"/>
    </xf>
    <xf numFmtId="0" fontId="7" fillId="0" borderId="30" xfId="0" applyFont="1" applyBorder="1" applyAlignment="1">
      <alignment horizontal="center" wrapText="1"/>
    </xf>
    <xf numFmtId="0" fontId="7" fillId="0" borderId="32" xfId="0" applyFont="1" applyBorder="1" applyAlignment="1">
      <alignment horizontal="center"/>
    </xf>
    <xf numFmtId="0" fontId="7" fillId="0" borderId="30" xfId="0" applyFont="1" applyBorder="1" applyAlignment="1">
      <alignment horizontal="center"/>
    </xf>
    <xf numFmtId="0" fontId="28" fillId="0" borderId="31" xfId="0" applyFont="1" applyBorder="1" applyAlignment="1">
      <alignment horizontal="center"/>
    </xf>
    <xf numFmtId="0" fontId="28" fillId="0" borderId="32" xfId="0" applyFont="1" applyBorder="1" applyAlignment="1">
      <alignment horizontal="left"/>
    </xf>
    <xf numFmtId="0" fontId="28" fillId="0" borderId="30" xfId="0" applyFont="1" applyBorder="1" applyAlignment="1">
      <alignment horizontal="left"/>
    </xf>
  </cellXfs>
  <cellStyles count="4">
    <cellStyle name="Comma" xfId="2" builtinId="3"/>
    <cellStyle name="Hyperlink" xfId="1" builtinId="8"/>
    <cellStyle name="Normal" xfId="0" builtinId="0"/>
    <cellStyle name="Percent" xfId="3" builtinId="5"/>
  </cellStyles>
  <dxfs count="2">
    <dxf>
      <font>
        <color theme="0"/>
      </font>
      <fill>
        <patternFill patternType="none">
          <bgColor auto="1"/>
        </patternFill>
      </fill>
    </dxf>
    <dxf>
      <font>
        <color auto="1"/>
      </font>
      <fill>
        <patternFill>
          <bgColor rgb="FFFF0000"/>
        </patternFill>
      </fill>
    </dxf>
  </dxfs>
  <tableStyles count="0" defaultTableStyle="TableStyleMedium2" defaultPivotStyle="PivotStyleLight16"/>
  <colors>
    <mruColors>
      <color rgb="FF9BBB59"/>
      <color rgb="FF33CC33"/>
      <color rgb="FFFFCCFF"/>
      <color rgb="FFFF99FF"/>
      <color rgb="FF00FF00"/>
      <color rgb="FFFF3399"/>
      <color rgb="FFFF0066"/>
      <color rgb="FF00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hyperlink" Target="http://www.deq.state.or.us/wq/assessment/rpt2010/search.asp" TargetMode="External"/><Relationship Id="rId3" Type="http://schemas.openxmlformats.org/officeDocument/2006/relationships/hyperlink" Target="http://www.dfw.state.or.us/wildlife/diversity/species/sensitive_species.asp" TargetMode="External"/><Relationship Id="rId7" Type="http://schemas.openxmlformats.org/officeDocument/2006/relationships/hyperlink" Target="http://oregonstate.edu/inr/ilap" TargetMode="External"/><Relationship Id="rId2" Type="http://schemas.openxmlformats.org/officeDocument/2006/relationships/hyperlink" Target="http://www.dfw.state.or.us/wildlife/diversity/species/threatened_endangered_candidate_list.asp" TargetMode="External"/><Relationship Id="rId1" Type="http://schemas.openxmlformats.org/officeDocument/2006/relationships/hyperlink" Target="http://www.dfw.state.or.us/wildlife/diversity/species/threatened_endangered_candidate_list.asp" TargetMode="External"/><Relationship Id="rId6" Type="http://schemas.openxmlformats.org/officeDocument/2006/relationships/hyperlink" Target="http://chetco-new.dsl.state.or.us/esh/index.html" TargetMode="External"/><Relationship Id="rId5" Type="http://schemas.openxmlformats.org/officeDocument/2006/relationships/hyperlink" Target="http://nas.er.usgs.gov/" TargetMode="External"/><Relationship Id="rId4" Type="http://schemas.openxmlformats.org/officeDocument/2006/relationships/hyperlink" Target="http://www.oregon.gov/dsl/PERMITS/Pages/esshabitat.aspx" TargetMode="External"/><Relationship Id="rId9"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oregonstate.edu/dept/ODFW/freshwater/inventory/habratere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zoomScaleNormal="100" workbookViewId="0">
      <selection activeCell="F3" sqref="F3"/>
    </sheetView>
  </sheetViews>
  <sheetFormatPr defaultRowHeight="15" x14ac:dyDescent="0.25"/>
  <cols>
    <col min="1" max="1" width="3.85546875" style="18" customWidth="1"/>
    <col min="2" max="2" width="21.28515625" style="1" customWidth="1"/>
    <col min="5" max="5" width="5.42578125" customWidth="1"/>
    <col min="6" max="6" width="18" customWidth="1"/>
    <col min="7" max="7" width="5.28515625" customWidth="1"/>
    <col min="8" max="8" width="17.85546875" customWidth="1"/>
    <col min="10" max="10" width="19.140625" customWidth="1"/>
  </cols>
  <sheetData>
    <row r="1" spans="2:11" x14ac:dyDescent="0.25">
      <c r="B1" s="257"/>
      <c r="C1" s="18"/>
      <c r="D1" s="18"/>
      <c r="E1" s="18"/>
      <c r="F1" s="18"/>
      <c r="G1" s="18"/>
      <c r="H1" s="18"/>
      <c r="I1" s="18"/>
      <c r="J1" s="18"/>
      <c r="K1" s="18"/>
    </row>
    <row r="2" spans="2:11" ht="20.100000000000001" customHeight="1" x14ac:dyDescent="0.3">
      <c r="B2" s="317" t="s">
        <v>217</v>
      </c>
      <c r="C2" s="317"/>
      <c r="D2" s="317"/>
      <c r="E2" s="258"/>
      <c r="F2" s="316" t="s">
        <v>397</v>
      </c>
      <c r="G2" s="316"/>
      <c r="I2" s="258"/>
      <c r="J2" s="260" t="s">
        <v>398</v>
      </c>
      <c r="K2" s="18"/>
    </row>
    <row r="3" spans="2:11" s="18" customFormat="1" x14ac:dyDescent="0.25">
      <c r="B3" s="257"/>
    </row>
    <row r="4" spans="2:11" s="18" customFormat="1" ht="59.25" customHeight="1" x14ac:dyDescent="0.3">
      <c r="B4" s="318" t="s">
        <v>395</v>
      </c>
      <c r="C4" s="318"/>
      <c r="D4" s="318"/>
      <c r="E4" s="318"/>
      <c r="F4" s="318"/>
      <c r="G4" s="318"/>
      <c r="H4" s="318"/>
      <c r="I4" s="318"/>
      <c r="J4" s="318"/>
      <c r="K4" s="261"/>
    </row>
    <row r="5" spans="2:11" s="18" customFormat="1" x14ac:dyDescent="0.25">
      <c r="B5" s="257"/>
    </row>
    <row r="6" spans="2:11" ht="15.75" x14ac:dyDescent="0.25">
      <c r="B6" s="312" t="s">
        <v>310</v>
      </c>
      <c r="C6" s="313"/>
      <c r="D6" s="313"/>
      <c r="E6" s="313"/>
      <c r="F6" s="313"/>
      <c r="G6" s="313"/>
      <c r="H6" s="313"/>
      <c r="I6" s="313"/>
      <c r="J6" s="314"/>
      <c r="K6" s="18"/>
    </row>
    <row r="7" spans="2:11" x14ac:dyDescent="0.25">
      <c r="B7" s="262" t="s">
        <v>311</v>
      </c>
      <c r="C7" s="18"/>
      <c r="D7" s="18"/>
      <c r="E7" s="18"/>
      <c r="F7" s="18"/>
      <c r="G7" s="18"/>
      <c r="H7" s="18"/>
      <c r="I7" s="18"/>
      <c r="J7" s="18"/>
      <c r="K7" s="18"/>
    </row>
    <row r="8" spans="2:11" s="18" customFormat="1" x14ac:dyDescent="0.25">
      <c r="B8" s="262"/>
    </row>
    <row r="9" spans="2:11" s="18" customFormat="1" ht="15" customHeight="1" x14ac:dyDescent="0.25">
      <c r="B9" s="315" t="s">
        <v>216</v>
      </c>
      <c r="C9" s="315"/>
      <c r="D9" s="315"/>
      <c r="E9" s="315"/>
      <c r="F9" s="315"/>
      <c r="G9" s="315"/>
      <c r="H9" s="315"/>
      <c r="I9" s="315"/>
      <c r="J9" s="315"/>
      <c r="K9" s="259"/>
    </row>
    <row r="10" spans="2:11" s="18" customFormat="1" x14ac:dyDescent="0.25">
      <c r="B10" s="257"/>
      <c r="C10" s="64" t="s">
        <v>80</v>
      </c>
      <c r="D10" s="263"/>
      <c r="E10" s="257"/>
      <c r="F10" s="64" t="s">
        <v>159</v>
      </c>
      <c r="G10" s="264"/>
      <c r="H10" s="257"/>
      <c r="I10" s="257"/>
      <c r="J10" s="257"/>
      <c r="K10" s="257"/>
    </row>
    <row r="11" spans="2:11" x14ac:dyDescent="0.25">
      <c r="B11" s="257"/>
      <c r="C11" s="18"/>
      <c r="D11" s="18"/>
      <c r="E11" s="18"/>
      <c r="F11" s="18"/>
      <c r="G11" s="18"/>
      <c r="H11" s="18"/>
      <c r="I11" s="18"/>
      <c r="J11" s="18"/>
      <c r="K11" s="18"/>
    </row>
    <row r="12" spans="2:11" ht="80.099999999999994" customHeight="1" x14ac:dyDescent="0.25">
      <c r="B12" s="315" t="s">
        <v>312</v>
      </c>
      <c r="C12" s="315"/>
      <c r="D12" s="315"/>
      <c r="E12" s="315"/>
      <c r="F12" s="315"/>
      <c r="G12" s="315"/>
      <c r="H12" s="315"/>
      <c r="I12" s="315"/>
      <c r="J12" s="315"/>
      <c r="K12" s="257"/>
    </row>
    <row r="13" spans="2:11" s="18" customFormat="1" x14ac:dyDescent="0.25">
      <c r="B13" s="259"/>
    </row>
    <row r="14" spans="2:11" s="18" customFormat="1" ht="30" customHeight="1" x14ac:dyDescent="0.3">
      <c r="B14" s="315" t="s">
        <v>404</v>
      </c>
      <c r="C14" s="315"/>
      <c r="D14" s="315"/>
      <c r="E14" s="315"/>
      <c r="F14" s="315"/>
      <c r="G14" s="315"/>
      <c r="H14" s="315"/>
      <c r="I14" s="315"/>
      <c r="J14" s="315"/>
    </row>
    <row r="15" spans="2:11" x14ac:dyDescent="0.25">
      <c r="B15" s="257"/>
      <c r="C15" s="18"/>
      <c r="D15" s="18"/>
      <c r="E15" s="18"/>
      <c r="F15" s="18"/>
      <c r="G15" s="18"/>
      <c r="H15" s="18"/>
      <c r="I15" s="18"/>
      <c r="J15" s="18"/>
      <c r="K15" s="18"/>
    </row>
    <row r="16" spans="2:11" ht="15.75" x14ac:dyDescent="0.25">
      <c r="B16" s="312" t="s">
        <v>313</v>
      </c>
      <c r="C16" s="313"/>
      <c r="D16" s="313"/>
      <c r="E16" s="313"/>
      <c r="F16" s="313"/>
      <c r="G16" s="313"/>
      <c r="H16" s="313"/>
      <c r="I16" s="313"/>
      <c r="J16" s="314"/>
      <c r="K16" s="18"/>
    </row>
    <row r="17" spans="2:11" x14ac:dyDescent="0.25">
      <c r="B17" s="265" t="s">
        <v>243</v>
      </c>
      <c r="C17" s="18" t="s">
        <v>314</v>
      </c>
      <c r="D17" s="18"/>
      <c r="E17" s="18"/>
      <c r="F17" s="18"/>
      <c r="G17" s="18"/>
      <c r="H17" s="18"/>
      <c r="I17" s="18"/>
      <c r="J17" s="18"/>
      <c r="K17" s="18"/>
    </row>
    <row r="18" spans="2:11" x14ac:dyDescent="0.25">
      <c r="B18" s="265" t="s">
        <v>315</v>
      </c>
      <c r="C18" s="18" t="s">
        <v>316</v>
      </c>
      <c r="D18" s="18"/>
      <c r="E18" s="18"/>
      <c r="F18" s="18"/>
      <c r="G18" s="18"/>
      <c r="H18" s="18"/>
      <c r="I18" s="18"/>
      <c r="J18" s="18"/>
      <c r="K18" s="18"/>
    </row>
    <row r="19" spans="2:11" x14ac:dyDescent="0.25">
      <c r="B19" s="265" t="s">
        <v>317</v>
      </c>
      <c r="C19" s="18" t="s">
        <v>318</v>
      </c>
      <c r="D19" s="18"/>
      <c r="E19" s="18"/>
      <c r="F19" s="18"/>
      <c r="G19" s="18"/>
      <c r="H19" s="18"/>
      <c r="I19" s="18"/>
      <c r="J19" s="18"/>
      <c r="K19" s="18"/>
    </row>
    <row r="20" spans="2:11" x14ac:dyDescent="0.25">
      <c r="B20" s="265" t="s">
        <v>319</v>
      </c>
      <c r="C20" s="18" t="s">
        <v>320</v>
      </c>
      <c r="D20" s="18"/>
      <c r="E20" s="18"/>
      <c r="F20" s="18"/>
      <c r="G20" s="18"/>
      <c r="H20" s="18"/>
      <c r="I20" s="18"/>
      <c r="J20" s="18"/>
      <c r="K20" s="18"/>
    </row>
    <row r="21" spans="2:11" ht="14.45" x14ac:dyDescent="0.3">
      <c r="B21" s="265" t="s">
        <v>321</v>
      </c>
      <c r="C21" s="18" t="s">
        <v>322</v>
      </c>
      <c r="D21" s="18"/>
      <c r="E21" s="18"/>
      <c r="F21" s="18"/>
      <c r="G21" s="18"/>
      <c r="H21" s="18"/>
      <c r="I21" s="18"/>
      <c r="J21" s="18"/>
      <c r="K21" s="18"/>
    </row>
    <row r="22" spans="2:11" ht="14.45" x14ac:dyDescent="0.3">
      <c r="B22" s="265" t="s">
        <v>3</v>
      </c>
      <c r="C22" s="18" t="s">
        <v>323</v>
      </c>
      <c r="D22" s="18"/>
      <c r="E22" s="18"/>
      <c r="F22" s="18"/>
      <c r="G22" s="18"/>
      <c r="H22" s="18"/>
      <c r="I22" s="18"/>
      <c r="J22" s="18"/>
      <c r="K22" s="18"/>
    </row>
    <row r="23" spans="2:11" x14ac:dyDescent="0.25">
      <c r="B23" s="265" t="s">
        <v>324</v>
      </c>
      <c r="C23" s="18" t="s">
        <v>325</v>
      </c>
      <c r="D23" s="18"/>
      <c r="E23" s="18"/>
      <c r="F23" s="18"/>
      <c r="G23" s="18"/>
      <c r="H23" s="18"/>
      <c r="I23" s="18"/>
      <c r="J23" s="18"/>
      <c r="K23" s="18"/>
    </row>
    <row r="24" spans="2:11" x14ac:dyDescent="0.25">
      <c r="B24" s="265" t="s">
        <v>326</v>
      </c>
      <c r="C24" s="18" t="s">
        <v>327</v>
      </c>
      <c r="D24" s="18"/>
      <c r="E24" s="18"/>
      <c r="F24" s="18"/>
      <c r="G24" s="18"/>
      <c r="H24" s="18"/>
      <c r="I24" s="18"/>
      <c r="J24" s="18"/>
      <c r="K24" s="18"/>
    </row>
    <row r="25" spans="2:11" thickBot="1" x14ac:dyDescent="0.35">
      <c r="B25" s="257"/>
      <c r="C25" s="18"/>
      <c r="D25" s="18"/>
      <c r="E25" s="18"/>
      <c r="F25" s="18"/>
      <c r="G25" s="18"/>
      <c r="H25" s="18"/>
      <c r="I25" s="18"/>
      <c r="J25" s="18"/>
      <c r="K25" s="18"/>
    </row>
    <row r="26" spans="2:11" ht="16.5" thickBot="1" x14ac:dyDescent="0.3">
      <c r="B26" s="319" t="s">
        <v>247</v>
      </c>
      <c r="C26" s="320"/>
      <c r="D26" s="320"/>
      <c r="E26" s="320"/>
      <c r="F26" s="320"/>
      <c r="G26" s="320"/>
      <c r="H26" s="320"/>
      <c r="I26" s="320"/>
      <c r="J26" s="321"/>
      <c r="K26" s="18"/>
    </row>
    <row r="27" spans="2:11" ht="30" customHeight="1" x14ac:dyDescent="0.25">
      <c r="B27" s="266" t="s">
        <v>328</v>
      </c>
      <c r="C27" s="322" t="s">
        <v>329</v>
      </c>
      <c r="D27" s="322"/>
      <c r="E27" s="322"/>
      <c r="F27" s="322"/>
      <c r="G27" s="322"/>
      <c r="H27" s="322"/>
      <c r="I27" s="322"/>
      <c r="J27" s="323"/>
      <c r="K27" s="18"/>
    </row>
    <row r="28" spans="2:11" x14ac:dyDescent="0.25">
      <c r="B28" s="267" t="s">
        <v>330</v>
      </c>
      <c r="C28" s="324" t="s">
        <v>331</v>
      </c>
      <c r="D28" s="324"/>
      <c r="E28" s="324"/>
      <c r="F28" s="324"/>
      <c r="G28" s="324"/>
      <c r="H28" s="324"/>
      <c r="I28" s="324"/>
      <c r="J28" s="325"/>
      <c r="K28" s="18"/>
    </row>
    <row r="29" spans="2:11" x14ac:dyDescent="0.25">
      <c r="B29" s="267" t="s">
        <v>332</v>
      </c>
      <c r="C29" s="324" t="s">
        <v>333</v>
      </c>
      <c r="D29" s="324"/>
      <c r="E29" s="324"/>
      <c r="F29" s="324"/>
      <c r="G29" s="324"/>
      <c r="H29" s="324"/>
      <c r="I29" s="324"/>
      <c r="J29" s="325"/>
      <c r="K29" s="18"/>
    </row>
    <row r="30" spans="2:11" ht="30" x14ac:dyDescent="0.25">
      <c r="B30" s="268" t="s">
        <v>334</v>
      </c>
      <c r="C30" s="326" t="s">
        <v>335</v>
      </c>
      <c r="D30" s="326"/>
      <c r="E30" s="326"/>
      <c r="F30" s="326"/>
      <c r="G30" s="326"/>
      <c r="H30" s="326"/>
      <c r="I30" s="326"/>
      <c r="J30" s="327"/>
      <c r="K30" s="18"/>
    </row>
    <row r="31" spans="2:11" ht="30" customHeight="1" x14ac:dyDescent="0.25">
      <c r="B31" s="269" t="s">
        <v>135</v>
      </c>
      <c r="C31" s="326" t="s">
        <v>336</v>
      </c>
      <c r="D31" s="326"/>
      <c r="E31" s="326"/>
      <c r="F31" s="326"/>
      <c r="G31" s="326"/>
      <c r="H31" s="326"/>
      <c r="I31" s="326"/>
      <c r="J31" s="327"/>
      <c r="K31" s="18"/>
    </row>
    <row r="32" spans="2:11" x14ac:dyDescent="0.25">
      <c r="B32" s="267" t="s">
        <v>337</v>
      </c>
      <c r="C32" s="324" t="s">
        <v>338</v>
      </c>
      <c r="D32" s="324"/>
      <c r="E32" s="324"/>
      <c r="F32" s="324"/>
      <c r="G32" s="324"/>
      <c r="H32" s="324"/>
      <c r="I32" s="324"/>
      <c r="J32" s="325"/>
      <c r="K32" s="18"/>
    </row>
    <row r="33" spans="2:11" ht="30" x14ac:dyDescent="0.25">
      <c r="B33" s="270" t="s">
        <v>339</v>
      </c>
      <c r="C33" s="328" t="s">
        <v>384</v>
      </c>
      <c r="D33" s="328"/>
      <c r="E33" s="328"/>
      <c r="F33" s="328"/>
      <c r="G33" s="328"/>
      <c r="H33" s="328"/>
      <c r="I33" s="328"/>
      <c r="J33" s="329"/>
      <c r="K33" s="18"/>
    </row>
    <row r="34" spans="2:11" x14ac:dyDescent="0.25">
      <c r="B34" s="267" t="s">
        <v>340</v>
      </c>
      <c r="C34" s="324" t="s">
        <v>341</v>
      </c>
      <c r="D34" s="324"/>
      <c r="E34" s="324"/>
      <c r="F34" s="324"/>
      <c r="G34" s="324"/>
      <c r="H34" s="324"/>
      <c r="I34" s="324"/>
      <c r="J34" s="325"/>
      <c r="K34" s="18"/>
    </row>
    <row r="35" spans="2:11" ht="45.95" customHeight="1" x14ac:dyDescent="0.25">
      <c r="B35" s="268" t="s">
        <v>342</v>
      </c>
      <c r="C35" s="326" t="s">
        <v>343</v>
      </c>
      <c r="D35" s="326"/>
      <c r="E35" s="326"/>
      <c r="F35" s="326"/>
      <c r="G35" s="326"/>
      <c r="H35" s="326"/>
      <c r="I35" s="326"/>
      <c r="J35" s="327"/>
      <c r="K35" s="18"/>
    </row>
    <row r="36" spans="2:11" ht="30" customHeight="1" x14ac:dyDescent="0.25">
      <c r="B36" s="269" t="s">
        <v>344</v>
      </c>
      <c r="C36" s="326" t="s">
        <v>345</v>
      </c>
      <c r="D36" s="326"/>
      <c r="E36" s="326"/>
      <c r="F36" s="326"/>
      <c r="G36" s="326"/>
      <c r="H36" s="326"/>
      <c r="I36" s="326"/>
      <c r="J36" s="327"/>
      <c r="K36" s="18"/>
    </row>
    <row r="37" spans="2:11" ht="30" customHeight="1" x14ac:dyDescent="0.25">
      <c r="B37" s="269" t="s">
        <v>346</v>
      </c>
      <c r="C37" s="326" t="s">
        <v>347</v>
      </c>
      <c r="D37" s="326"/>
      <c r="E37" s="326"/>
      <c r="F37" s="326"/>
      <c r="G37" s="326"/>
      <c r="H37" s="326"/>
      <c r="I37" s="326"/>
      <c r="J37" s="327"/>
      <c r="K37" s="18"/>
    </row>
    <row r="38" spans="2:11" ht="30" x14ac:dyDescent="0.25">
      <c r="B38" s="268" t="s">
        <v>348</v>
      </c>
      <c r="C38" s="326" t="s">
        <v>349</v>
      </c>
      <c r="D38" s="326"/>
      <c r="E38" s="326"/>
      <c r="F38" s="326"/>
      <c r="G38" s="326"/>
      <c r="H38" s="326"/>
      <c r="I38" s="326"/>
      <c r="J38" s="327"/>
      <c r="K38" s="18"/>
    </row>
    <row r="39" spans="2:11" ht="30" customHeight="1" x14ac:dyDescent="0.25">
      <c r="B39" s="268" t="s">
        <v>350</v>
      </c>
      <c r="C39" s="326" t="s">
        <v>351</v>
      </c>
      <c r="D39" s="326"/>
      <c r="E39" s="326"/>
      <c r="F39" s="326"/>
      <c r="G39" s="326"/>
      <c r="H39" s="326"/>
      <c r="I39" s="326"/>
      <c r="J39" s="327"/>
      <c r="K39" s="18"/>
    </row>
    <row r="40" spans="2:11" x14ac:dyDescent="0.25">
      <c r="B40" s="270" t="s">
        <v>352</v>
      </c>
      <c r="C40" s="324" t="s">
        <v>353</v>
      </c>
      <c r="D40" s="324"/>
      <c r="E40" s="324"/>
      <c r="F40" s="324"/>
      <c r="G40" s="324"/>
      <c r="H40" s="324"/>
      <c r="I40" s="324"/>
      <c r="J40" s="325"/>
      <c r="K40" s="18"/>
    </row>
    <row r="41" spans="2:11" ht="30" customHeight="1" thickBot="1" x14ac:dyDescent="0.3">
      <c r="B41" s="271" t="s">
        <v>354</v>
      </c>
      <c r="C41" s="330" t="s">
        <v>355</v>
      </c>
      <c r="D41" s="330"/>
      <c r="E41" s="330"/>
      <c r="F41" s="330"/>
      <c r="G41" s="330"/>
      <c r="H41" s="330"/>
      <c r="I41" s="330"/>
      <c r="J41" s="331"/>
      <c r="K41" s="18"/>
    </row>
    <row r="42" spans="2:11" x14ac:dyDescent="0.25">
      <c r="B42" s="257"/>
      <c r="C42" s="18"/>
      <c r="D42" s="18"/>
      <c r="E42" s="18"/>
      <c r="F42" s="18"/>
      <c r="G42" s="18"/>
      <c r="H42" s="18"/>
      <c r="I42" s="18"/>
      <c r="J42" s="18"/>
      <c r="K42" s="18"/>
    </row>
  </sheetData>
  <mergeCells count="24">
    <mergeCell ref="C41:J41"/>
    <mergeCell ref="C36:J36"/>
    <mergeCell ref="C37:J37"/>
    <mergeCell ref="C38:J38"/>
    <mergeCell ref="C39:J39"/>
    <mergeCell ref="C40:J40"/>
    <mergeCell ref="C31:J31"/>
    <mergeCell ref="C32:J32"/>
    <mergeCell ref="C33:J33"/>
    <mergeCell ref="C34:J34"/>
    <mergeCell ref="C35:J35"/>
    <mergeCell ref="B26:J26"/>
    <mergeCell ref="C27:J27"/>
    <mergeCell ref="C28:J28"/>
    <mergeCell ref="C29:J29"/>
    <mergeCell ref="C30:J30"/>
    <mergeCell ref="B16:J16"/>
    <mergeCell ref="B9:J9"/>
    <mergeCell ref="B14:J14"/>
    <mergeCell ref="F2:G2"/>
    <mergeCell ref="B2:D2"/>
    <mergeCell ref="B4:J4"/>
    <mergeCell ref="B6:J6"/>
    <mergeCell ref="B12:J12"/>
  </mergeCells>
  <printOptions horizontalCentered="1"/>
  <pageMargins left="0.5" right="0.5" top="0.5" bottom="0.5" header="0.3" footer="0.3"/>
  <pageSetup scale="78"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topLeftCell="A43" zoomScale="75" zoomScaleNormal="75" zoomScaleSheetLayoutView="40" zoomScalePageLayoutView="40" workbookViewId="0">
      <selection activeCell="O60" sqref="O60"/>
    </sheetView>
  </sheetViews>
  <sheetFormatPr defaultColWidth="9.140625" defaultRowHeight="15" x14ac:dyDescent="0.25"/>
  <cols>
    <col min="1" max="1" width="4.7109375" style="36" customWidth="1"/>
    <col min="2" max="2" width="25.85546875" style="36" customWidth="1"/>
    <col min="3" max="3" width="27.7109375" style="36" customWidth="1"/>
    <col min="4" max="4" width="9" style="36" customWidth="1"/>
    <col min="5" max="5" width="8.28515625" style="36" customWidth="1"/>
    <col min="6" max="6" width="12.140625" style="36" customWidth="1"/>
    <col min="7" max="7" width="12.7109375" style="36" customWidth="1"/>
    <col min="8" max="8" width="16.42578125" style="36" customWidth="1"/>
    <col min="9" max="9" width="13.140625" style="36" customWidth="1"/>
    <col min="10" max="10" width="12.42578125" style="36" customWidth="1"/>
    <col min="11" max="11" width="9.140625" style="36" customWidth="1"/>
    <col min="12" max="12" width="2.85546875" style="36" customWidth="1"/>
    <col min="13" max="13" width="5.42578125" style="36" customWidth="1"/>
    <col min="14" max="14" width="6.42578125" style="36" customWidth="1"/>
    <col min="15" max="16384" width="9.140625" style="36"/>
  </cols>
  <sheetData>
    <row r="1" spans="1:14" ht="24.95" customHeight="1" x14ac:dyDescent="0.25">
      <c r="B1" s="347" t="s">
        <v>396</v>
      </c>
      <c r="C1" s="348"/>
      <c r="D1" s="348"/>
      <c r="E1" s="348"/>
      <c r="F1" s="348"/>
      <c r="G1" s="348"/>
      <c r="H1" s="348"/>
      <c r="I1" s="348"/>
      <c r="J1" s="348"/>
      <c r="K1" s="348"/>
      <c r="L1" s="349"/>
    </row>
    <row r="2" spans="1:14" ht="18.75" customHeight="1" thickBot="1" x14ac:dyDescent="0.3">
      <c r="B2" s="350" t="str">
        <f>Introduction!F2</f>
        <v>Version 1.1</v>
      </c>
      <c r="C2" s="351"/>
      <c r="D2" s="351"/>
      <c r="E2" s="351"/>
      <c r="F2" s="351"/>
      <c r="G2" s="351"/>
      <c r="H2" s="351"/>
      <c r="I2" s="351"/>
      <c r="J2" s="351"/>
      <c r="K2" s="351"/>
      <c r="L2" s="352"/>
    </row>
    <row r="3" spans="1:14" ht="18.75" x14ac:dyDescent="0.3">
      <c r="B3" s="72"/>
      <c r="C3" s="72"/>
      <c r="D3" s="72"/>
      <c r="E3" s="72"/>
      <c r="F3" s="72"/>
      <c r="G3" s="72"/>
      <c r="H3" s="72"/>
      <c r="I3" s="73"/>
    </row>
    <row r="4" spans="1:14" ht="24.75" customHeight="1" x14ac:dyDescent="0.25">
      <c r="B4" s="90" t="s">
        <v>56</v>
      </c>
      <c r="C4" s="344"/>
      <c r="D4" s="344"/>
      <c r="E4" s="344"/>
      <c r="F4" s="344"/>
      <c r="G4" s="91"/>
      <c r="H4" s="224"/>
      <c r="I4" s="223" t="s">
        <v>303</v>
      </c>
      <c r="J4" s="355"/>
      <c r="K4" s="355"/>
      <c r="L4" s="91"/>
    </row>
    <row r="5" spans="1:14" ht="13.5" customHeight="1" x14ac:dyDescent="0.25">
      <c r="B5" s="90"/>
      <c r="C5" s="90"/>
      <c r="D5" s="92"/>
      <c r="E5" s="91"/>
      <c r="F5" s="93"/>
      <c r="G5" s="91"/>
      <c r="H5" s="94"/>
      <c r="I5" s="91"/>
      <c r="J5" s="91"/>
      <c r="K5" s="91"/>
      <c r="L5" s="91"/>
    </row>
    <row r="6" spans="1:14" ht="24.75" customHeight="1" x14ac:dyDescent="0.25">
      <c r="B6" s="90" t="s">
        <v>58</v>
      </c>
      <c r="C6" s="344"/>
      <c r="D6" s="344"/>
      <c r="E6" s="344"/>
      <c r="F6" s="344"/>
      <c r="G6" s="91"/>
      <c r="H6" s="91"/>
      <c r="I6" s="90" t="s">
        <v>76</v>
      </c>
      <c r="J6" s="353"/>
      <c r="K6" s="353"/>
      <c r="L6" s="91"/>
    </row>
    <row r="7" spans="1:14" ht="13.5" customHeight="1" x14ac:dyDescent="0.25">
      <c r="B7" s="90"/>
      <c r="C7" s="90"/>
      <c r="D7" s="92"/>
      <c r="E7" s="91"/>
      <c r="F7" s="91"/>
      <c r="G7" s="91"/>
      <c r="H7" s="93"/>
      <c r="I7" s="354"/>
      <c r="J7" s="354"/>
      <c r="K7" s="95"/>
      <c r="L7" s="91"/>
    </row>
    <row r="8" spans="1:14" ht="24.75" customHeight="1" x14ac:dyDescent="0.25">
      <c r="B8" s="90" t="s">
        <v>77</v>
      </c>
      <c r="C8" s="344"/>
      <c r="D8" s="344"/>
      <c r="E8" s="344"/>
      <c r="F8" s="344"/>
      <c r="G8" s="91"/>
      <c r="H8" s="343" t="s">
        <v>57</v>
      </c>
      <c r="I8" s="343"/>
      <c r="J8" s="353"/>
      <c r="K8" s="353"/>
      <c r="L8" s="91"/>
    </row>
    <row r="9" spans="1:14" ht="13.5" customHeight="1" x14ac:dyDescent="0.25">
      <c r="B9" s="90"/>
      <c r="C9" s="90"/>
      <c r="D9" s="92"/>
      <c r="E9" s="91"/>
      <c r="F9" s="93"/>
      <c r="G9" s="91"/>
      <c r="H9" s="94"/>
      <c r="I9" s="93"/>
      <c r="J9" s="96"/>
      <c r="K9" s="91"/>
      <c r="L9" s="91"/>
    </row>
    <row r="10" spans="1:14" ht="33.75" customHeight="1" x14ac:dyDescent="0.25">
      <c r="A10" s="343" t="s">
        <v>59</v>
      </c>
      <c r="B10" s="343"/>
      <c r="C10" s="363"/>
      <c r="D10" s="363"/>
      <c r="E10" s="91"/>
      <c r="F10" s="91"/>
      <c r="H10" s="343" t="s">
        <v>282</v>
      </c>
      <c r="I10" s="359"/>
      <c r="J10" s="358" t="str">
        <f>IF(TotMiles="","",TotMiles)</f>
        <v/>
      </c>
      <c r="K10" s="358"/>
      <c r="L10" s="91"/>
    </row>
    <row r="11" spans="1:14" ht="12" customHeight="1" x14ac:dyDescent="0.25">
      <c r="E11" s="91"/>
      <c r="F11" s="91"/>
      <c r="G11" s="95"/>
      <c r="H11" s="95"/>
      <c r="I11" s="91"/>
      <c r="J11" s="91"/>
      <c r="K11" s="91"/>
      <c r="L11" s="91"/>
    </row>
    <row r="12" spans="1:14" ht="33" customHeight="1" x14ac:dyDescent="0.25">
      <c r="B12" s="219" t="s">
        <v>248</v>
      </c>
      <c r="C12" s="290"/>
      <c r="D12" s="91"/>
      <c r="E12" s="91"/>
      <c r="F12" s="91"/>
      <c r="H12" s="219"/>
      <c r="I12" s="356" t="s">
        <v>13</v>
      </c>
      <c r="J12" s="356" t="s">
        <v>11</v>
      </c>
      <c r="K12" s="356" t="s">
        <v>12</v>
      </c>
      <c r="N12" s="219"/>
    </row>
    <row r="13" spans="1:14" ht="12.75" customHeight="1" x14ac:dyDescent="0.25">
      <c r="B13" s="345"/>
      <c r="C13" s="345"/>
      <c r="D13" s="346"/>
      <c r="E13" s="91"/>
      <c r="F13" s="220"/>
      <c r="H13" s="91"/>
      <c r="I13" s="357"/>
      <c r="J13" s="357"/>
      <c r="K13" s="357"/>
    </row>
    <row r="14" spans="1:14" ht="33" customHeight="1" x14ac:dyDescent="0.25">
      <c r="B14" s="219" t="s">
        <v>249</v>
      </c>
      <c r="C14" s="291"/>
      <c r="D14" s="222"/>
      <c r="H14" s="205" t="str">
        <f>IF(J4="","",IF(J4="Impact","Debits:","Credit:"))</f>
        <v/>
      </c>
      <c r="I14" s="286" t="str">
        <f>IF($J$4="","",IF($J$4="Impact",'Credit Calculations'!E111,'Credit Calculations'!E112))</f>
        <v/>
      </c>
      <c r="J14" s="286" t="str">
        <f>IF($J$4="","",IF($J$4="Impact",'Credit Calculations'!F111,'Credit Calculations'!F112))</f>
        <v/>
      </c>
      <c r="K14" s="286" t="str">
        <f>IF($J$4="","",IF($J$4="Impact",'Credit Calculations'!G111,'Credit Calculations'!G112))</f>
        <v/>
      </c>
    </row>
    <row r="15" spans="1:14" ht="12.75" customHeight="1" x14ac:dyDescent="0.25">
      <c r="B15" s="90"/>
      <c r="C15" s="90"/>
      <c r="D15" s="92"/>
      <c r="E15" s="91"/>
      <c r="F15" s="93"/>
      <c r="G15" s="91"/>
      <c r="H15" s="94"/>
      <c r="I15" s="354"/>
      <c r="J15" s="354"/>
      <c r="K15" s="91"/>
      <c r="L15" s="91"/>
    </row>
    <row r="16" spans="1:14" ht="12" customHeight="1" x14ac:dyDescent="0.25">
      <c r="B16" s="345"/>
      <c r="C16" s="345"/>
      <c r="D16" s="346"/>
      <c r="E16" s="91"/>
      <c r="F16" s="91"/>
      <c r="G16" s="91"/>
      <c r="H16" s="91"/>
      <c r="I16" s="91"/>
      <c r="J16" s="91"/>
      <c r="K16" s="91"/>
      <c r="L16" s="91"/>
    </row>
    <row r="17" spans="2:13" ht="15.75" x14ac:dyDescent="0.25">
      <c r="B17" s="364" t="s">
        <v>356</v>
      </c>
      <c r="C17" s="364"/>
      <c r="D17" s="364"/>
      <c r="E17" s="364"/>
      <c r="F17" s="364"/>
      <c r="G17" s="364"/>
      <c r="H17" s="364"/>
      <c r="I17" s="364"/>
      <c r="J17" s="364"/>
      <c r="K17" s="364"/>
      <c r="L17" s="364"/>
    </row>
    <row r="18" spans="2:13" x14ac:dyDescent="0.25">
      <c r="B18" s="333"/>
      <c r="C18" s="333"/>
      <c r="D18" s="333"/>
      <c r="E18" s="333"/>
      <c r="F18" s="333"/>
      <c r="G18" s="333"/>
      <c r="H18" s="333"/>
      <c r="I18" s="333"/>
      <c r="J18" s="333"/>
      <c r="K18" s="333"/>
      <c r="L18" s="333"/>
    </row>
    <row r="19" spans="2:13" x14ac:dyDescent="0.25">
      <c r="B19" s="333"/>
      <c r="C19" s="333"/>
      <c r="D19" s="333"/>
      <c r="E19" s="333"/>
      <c r="F19" s="333"/>
      <c r="G19" s="333"/>
      <c r="H19" s="333"/>
      <c r="I19" s="333"/>
      <c r="J19" s="333"/>
      <c r="K19" s="333"/>
      <c r="L19" s="333"/>
    </row>
    <row r="20" spans="2:13" ht="15.75" x14ac:dyDescent="0.25">
      <c r="B20" s="91"/>
      <c r="C20" s="91"/>
      <c r="D20" s="91"/>
      <c r="E20" s="91"/>
      <c r="F20" s="91"/>
      <c r="G20" s="91"/>
      <c r="H20" s="91"/>
      <c r="I20" s="91"/>
      <c r="J20" s="91"/>
      <c r="K20" s="91"/>
      <c r="L20" s="91"/>
    </row>
    <row r="21" spans="2:13" ht="64.5" customHeight="1" x14ac:dyDescent="0.25">
      <c r="B21" s="362" t="s">
        <v>393</v>
      </c>
      <c r="C21" s="362"/>
      <c r="D21" s="362"/>
      <c r="E21" s="362"/>
      <c r="F21" s="362"/>
      <c r="G21" s="362"/>
      <c r="H21" s="362"/>
      <c r="I21" s="362"/>
      <c r="J21" s="362"/>
      <c r="K21" s="200"/>
      <c r="L21" s="200"/>
      <c r="M21" s="81"/>
    </row>
    <row r="22" spans="2:13" ht="15.75" customHeight="1" x14ac:dyDescent="0.25">
      <c r="B22" s="341" t="s">
        <v>26</v>
      </c>
      <c r="C22" s="341"/>
      <c r="D22" s="365" t="s">
        <v>27</v>
      </c>
      <c r="E22" s="367" t="s">
        <v>28</v>
      </c>
      <c r="F22" s="339" t="s">
        <v>202</v>
      </c>
      <c r="G22" s="340"/>
      <c r="H22" s="339" t="s">
        <v>205</v>
      </c>
      <c r="I22" s="340"/>
      <c r="J22" s="360" t="s">
        <v>279</v>
      </c>
      <c r="K22" s="196"/>
      <c r="L22" s="91"/>
    </row>
    <row r="23" spans="2:13" ht="31.5" x14ac:dyDescent="0.25">
      <c r="B23" s="342"/>
      <c r="C23" s="342"/>
      <c r="D23" s="366"/>
      <c r="E23" s="368"/>
      <c r="F23" s="97" t="s">
        <v>203</v>
      </c>
      <c r="G23" s="98" t="s">
        <v>204</v>
      </c>
      <c r="H23" s="99" t="s">
        <v>206</v>
      </c>
      <c r="I23" s="197" t="s">
        <v>207</v>
      </c>
      <c r="J23" s="360"/>
      <c r="K23" s="91"/>
      <c r="L23" s="91"/>
    </row>
    <row r="24" spans="2:13" ht="15.75" x14ac:dyDescent="0.25">
      <c r="B24" s="338" t="s">
        <v>196</v>
      </c>
      <c r="C24" s="338"/>
      <c r="D24" s="100" t="s">
        <v>55</v>
      </c>
      <c r="E24" s="100" t="s">
        <v>30</v>
      </c>
      <c r="F24" s="192"/>
      <c r="G24" s="193"/>
      <c r="H24" s="194"/>
      <c r="I24" s="198"/>
      <c r="J24" s="199"/>
      <c r="K24" s="91"/>
      <c r="L24" s="91"/>
    </row>
    <row r="25" spans="2:13" ht="15.75" x14ac:dyDescent="0.25">
      <c r="B25" s="336" t="s">
        <v>198</v>
      </c>
      <c r="C25" s="336"/>
      <c r="D25" s="100" t="s">
        <v>55</v>
      </c>
      <c r="E25" s="100"/>
      <c r="F25" s="192"/>
      <c r="G25" s="193"/>
      <c r="H25" s="195"/>
      <c r="I25" s="198"/>
      <c r="J25" s="199"/>
      <c r="K25" s="91"/>
      <c r="L25" s="91"/>
    </row>
    <row r="26" spans="2:13" ht="15.75" x14ac:dyDescent="0.25">
      <c r="B26" s="336" t="s">
        <v>31</v>
      </c>
      <c r="C26" s="336"/>
      <c r="D26" s="100" t="s">
        <v>29</v>
      </c>
      <c r="E26" s="100" t="s">
        <v>30</v>
      </c>
      <c r="F26" s="192"/>
      <c r="G26" s="193"/>
      <c r="H26" s="195"/>
      <c r="I26" s="198"/>
      <c r="J26" s="199"/>
      <c r="K26" s="91"/>
      <c r="L26" s="91"/>
    </row>
    <row r="27" spans="2:13" ht="15.75" x14ac:dyDescent="0.25">
      <c r="B27" s="336" t="s">
        <v>195</v>
      </c>
      <c r="C27" s="336"/>
      <c r="D27" s="100" t="s">
        <v>55</v>
      </c>
      <c r="E27" s="100" t="s">
        <v>30</v>
      </c>
      <c r="F27" s="192"/>
      <c r="G27" s="193"/>
      <c r="H27" s="195"/>
      <c r="I27" s="198"/>
      <c r="J27" s="199"/>
      <c r="K27" s="91"/>
      <c r="L27" s="91"/>
    </row>
    <row r="28" spans="2:13" ht="15.75" x14ac:dyDescent="0.25">
      <c r="B28" s="336" t="s">
        <v>193</v>
      </c>
      <c r="C28" s="336"/>
      <c r="D28" s="100" t="s">
        <v>55</v>
      </c>
      <c r="E28" s="100" t="s">
        <v>30</v>
      </c>
      <c r="F28" s="192"/>
      <c r="G28" s="193"/>
      <c r="H28" s="195"/>
      <c r="I28" s="198"/>
      <c r="J28" s="199"/>
      <c r="K28" s="91"/>
      <c r="L28" s="91"/>
    </row>
    <row r="29" spans="2:13" ht="15.75" x14ac:dyDescent="0.25">
      <c r="B29" s="336" t="s">
        <v>194</v>
      </c>
      <c r="C29" s="336"/>
      <c r="D29" s="100" t="s">
        <v>55</v>
      </c>
      <c r="E29" s="100" t="s">
        <v>30</v>
      </c>
      <c r="F29" s="192"/>
      <c r="G29" s="193"/>
      <c r="H29" s="195"/>
      <c r="I29" s="198"/>
      <c r="J29" s="199"/>
      <c r="K29" s="91"/>
      <c r="L29" s="91"/>
    </row>
    <row r="30" spans="2:13" ht="15.75" x14ac:dyDescent="0.25">
      <c r="B30" s="336" t="s">
        <v>190</v>
      </c>
      <c r="C30" s="336"/>
      <c r="D30" s="100" t="s">
        <v>55</v>
      </c>
      <c r="E30" s="100"/>
      <c r="F30" s="192"/>
      <c r="G30" s="193"/>
      <c r="H30" s="195"/>
      <c r="I30" s="198"/>
      <c r="J30" s="199"/>
      <c r="K30" s="91"/>
      <c r="L30" s="91"/>
    </row>
    <row r="31" spans="2:13" ht="15.75" x14ac:dyDescent="0.25">
      <c r="B31" s="337" t="s">
        <v>32</v>
      </c>
      <c r="C31" s="337"/>
      <c r="D31" s="100" t="s">
        <v>55</v>
      </c>
      <c r="E31" s="100" t="s">
        <v>30</v>
      </c>
      <c r="F31" s="192"/>
      <c r="G31" s="193"/>
      <c r="H31" s="195"/>
      <c r="I31" s="198"/>
      <c r="J31" s="199"/>
      <c r="K31" s="91"/>
      <c r="L31" s="91"/>
    </row>
    <row r="32" spans="2:13" ht="15.75" x14ac:dyDescent="0.25">
      <c r="B32" s="338" t="s">
        <v>197</v>
      </c>
      <c r="C32" s="338"/>
      <c r="D32" s="100"/>
      <c r="E32" s="100"/>
      <c r="F32" s="192"/>
      <c r="G32" s="193"/>
      <c r="H32" s="195"/>
      <c r="I32" s="198"/>
      <c r="J32" s="199"/>
      <c r="K32" s="91"/>
      <c r="L32" s="91"/>
    </row>
    <row r="33" spans="2:12" ht="15.75" x14ac:dyDescent="0.25">
      <c r="B33" s="336" t="s">
        <v>188</v>
      </c>
      <c r="C33" s="336"/>
      <c r="D33" s="100"/>
      <c r="E33" s="100"/>
      <c r="F33" s="192"/>
      <c r="G33" s="193"/>
      <c r="H33" s="195"/>
      <c r="I33" s="198"/>
      <c r="J33" s="199"/>
      <c r="K33" s="91"/>
      <c r="L33" s="91"/>
    </row>
    <row r="34" spans="2:12" ht="15.75" x14ac:dyDescent="0.25">
      <c r="B34" s="336" t="s">
        <v>189</v>
      </c>
      <c r="C34" s="336"/>
      <c r="D34" s="100"/>
      <c r="E34" s="100"/>
      <c r="F34" s="192"/>
      <c r="G34" s="193"/>
      <c r="H34" s="195"/>
      <c r="I34" s="198"/>
      <c r="J34" s="199"/>
      <c r="K34" s="91"/>
      <c r="L34" s="91"/>
    </row>
    <row r="35" spans="2:12" ht="15.75" x14ac:dyDescent="0.25">
      <c r="B35" s="336" t="s">
        <v>191</v>
      </c>
      <c r="C35" s="336"/>
      <c r="D35" s="100"/>
      <c r="E35" s="100"/>
      <c r="F35" s="192"/>
      <c r="G35" s="193"/>
      <c r="H35" s="195"/>
      <c r="I35" s="198"/>
      <c r="J35" s="199"/>
      <c r="K35" s="91"/>
      <c r="L35" s="91"/>
    </row>
    <row r="36" spans="2:12" ht="15.75" x14ac:dyDescent="0.25">
      <c r="B36" s="336" t="s">
        <v>192</v>
      </c>
      <c r="C36" s="336"/>
      <c r="D36" s="100"/>
      <c r="E36" s="100"/>
      <c r="F36" s="192"/>
      <c r="G36" s="193"/>
      <c r="H36" s="195"/>
      <c r="I36" s="198"/>
      <c r="J36" s="199"/>
      <c r="K36" s="91"/>
      <c r="L36" s="91"/>
    </row>
    <row r="37" spans="2:12" ht="15.75" x14ac:dyDescent="0.25">
      <c r="B37" s="336" t="s">
        <v>199</v>
      </c>
      <c r="C37" s="336"/>
      <c r="D37" s="100" t="s">
        <v>200</v>
      </c>
      <c r="E37" s="100"/>
      <c r="F37" s="192"/>
      <c r="G37" s="193"/>
      <c r="H37" s="195"/>
      <c r="I37" s="198"/>
      <c r="J37" s="199"/>
      <c r="K37" s="91"/>
      <c r="L37" s="91"/>
    </row>
    <row r="38" spans="2:12" ht="15.75" x14ac:dyDescent="0.25">
      <c r="B38" s="336" t="s">
        <v>201</v>
      </c>
      <c r="C38" s="336"/>
      <c r="D38" s="100"/>
      <c r="E38" s="100"/>
      <c r="F38" s="192"/>
      <c r="G38" s="193"/>
      <c r="H38" s="195"/>
      <c r="I38" s="198"/>
      <c r="J38" s="199"/>
      <c r="K38" s="91"/>
      <c r="L38" s="91"/>
    </row>
    <row r="39" spans="2:12" ht="36.75" customHeight="1" x14ac:dyDescent="0.25">
      <c r="B39" s="361" t="s">
        <v>235</v>
      </c>
      <c r="C39" s="361"/>
      <c r="D39" s="361"/>
      <c r="E39" s="361"/>
      <c r="F39" s="361"/>
      <c r="G39" s="361"/>
      <c r="H39" s="361"/>
      <c r="I39" s="361"/>
      <c r="J39" s="361"/>
      <c r="K39" s="91"/>
      <c r="L39" s="91"/>
    </row>
    <row r="40" spans="2:12" ht="15.75" x14ac:dyDescent="0.25">
      <c r="B40" s="91"/>
      <c r="C40" s="91"/>
      <c r="D40" s="91"/>
      <c r="E40" s="91"/>
      <c r="F40" s="91"/>
      <c r="G40" s="91"/>
      <c r="H40" s="91"/>
      <c r="I40" s="91"/>
      <c r="J40" s="91"/>
      <c r="K40" s="91"/>
      <c r="L40" s="91"/>
    </row>
    <row r="41" spans="2:12" ht="35.1" customHeight="1" x14ac:dyDescent="0.25">
      <c r="B41" s="332" t="s">
        <v>357</v>
      </c>
      <c r="C41" s="332"/>
      <c r="D41" s="332"/>
      <c r="E41" s="332"/>
      <c r="F41" s="332"/>
      <c r="G41" s="332"/>
      <c r="H41" s="332"/>
      <c r="I41" s="332"/>
      <c r="J41" s="332"/>
      <c r="K41" s="332"/>
      <c r="L41" s="332"/>
    </row>
    <row r="42" spans="2:12" ht="32.25" customHeight="1" x14ac:dyDescent="0.25">
      <c r="B42" s="333"/>
      <c r="C42" s="333"/>
      <c r="D42" s="333"/>
      <c r="E42" s="333"/>
      <c r="F42" s="333"/>
      <c r="G42" s="333"/>
      <c r="H42" s="333"/>
      <c r="I42" s="333"/>
      <c r="J42" s="333"/>
      <c r="K42" s="333"/>
      <c r="L42" s="333"/>
    </row>
    <row r="43" spans="2:12" ht="15.75" x14ac:dyDescent="0.25">
      <c r="B43" s="95"/>
      <c r="C43" s="95"/>
      <c r="D43" s="95"/>
      <c r="E43" s="95"/>
      <c r="F43" s="95"/>
      <c r="G43" s="95"/>
      <c r="H43" s="95"/>
      <c r="I43" s="95"/>
      <c r="J43" s="95"/>
      <c r="K43" s="95"/>
      <c r="L43" s="95"/>
    </row>
    <row r="44" spans="2:12" ht="50.1" customHeight="1" x14ac:dyDescent="0.25">
      <c r="B44" s="332" t="s">
        <v>250</v>
      </c>
      <c r="C44" s="332"/>
      <c r="D44" s="332"/>
      <c r="E44" s="332"/>
      <c r="F44" s="332"/>
      <c r="G44" s="332"/>
      <c r="H44" s="332"/>
      <c r="I44" s="332"/>
      <c r="J44" s="332"/>
      <c r="K44" s="332"/>
      <c r="L44" s="332"/>
    </row>
    <row r="45" spans="2:12" ht="48.75" customHeight="1" x14ac:dyDescent="0.25">
      <c r="B45" s="333"/>
      <c r="C45" s="333"/>
      <c r="D45" s="333"/>
      <c r="E45" s="333"/>
      <c r="F45" s="333"/>
      <c r="G45" s="333"/>
      <c r="H45" s="333"/>
      <c r="I45" s="333"/>
      <c r="J45" s="333"/>
      <c r="K45" s="333"/>
      <c r="L45" s="333"/>
    </row>
    <row r="46" spans="2:12" ht="15.75" x14ac:dyDescent="0.25">
      <c r="B46" s="95"/>
      <c r="C46" s="95"/>
      <c r="D46" s="95"/>
      <c r="E46" s="95"/>
      <c r="F46" s="95"/>
      <c r="G46" s="95"/>
      <c r="H46" s="95"/>
      <c r="I46" s="95"/>
      <c r="J46" s="95"/>
      <c r="K46" s="95"/>
      <c r="L46" s="95"/>
    </row>
    <row r="47" spans="2:12" ht="50.1" customHeight="1" x14ac:dyDescent="0.25">
      <c r="B47" s="332" t="s">
        <v>251</v>
      </c>
      <c r="C47" s="332"/>
      <c r="D47" s="332"/>
      <c r="E47" s="332"/>
      <c r="F47" s="332"/>
      <c r="G47" s="332"/>
      <c r="H47" s="332"/>
      <c r="I47" s="332"/>
      <c r="J47" s="332"/>
      <c r="K47" s="332"/>
      <c r="L47" s="332"/>
    </row>
    <row r="48" spans="2:12" ht="26.25" customHeight="1" x14ac:dyDescent="0.25">
      <c r="B48" s="333"/>
      <c r="C48" s="333"/>
      <c r="D48" s="333"/>
      <c r="E48" s="333"/>
      <c r="F48" s="333"/>
      <c r="G48" s="333"/>
      <c r="H48" s="333"/>
      <c r="I48" s="333"/>
      <c r="J48" s="333"/>
      <c r="K48" s="333"/>
      <c r="L48" s="333"/>
    </row>
    <row r="49" spans="2:14" ht="15.75" x14ac:dyDescent="0.25">
      <c r="B49" s="101"/>
      <c r="C49" s="101"/>
      <c r="D49" s="101"/>
      <c r="E49" s="101"/>
      <c r="F49" s="101"/>
      <c r="G49" s="101"/>
      <c r="H49" s="101"/>
      <c r="I49" s="102"/>
      <c r="J49" s="95"/>
      <c r="K49" s="95"/>
      <c r="L49" s="95"/>
    </row>
    <row r="50" spans="2:14" ht="35.1" customHeight="1" x14ac:dyDescent="0.25">
      <c r="B50" s="332" t="s">
        <v>358</v>
      </c>
      <c r="C50" s="332"/>
      <c r="D50" s="332"/>
      <c r="E50" s="332"/>
      <c r="F50" s="332"/>
      <c r="G50" s="332"/>
      <c r="H50" s="332"/>
      <c r="I50" s="332"/>
      <c r="J50" s="332"/>
      <c r="K50" s="332"/>
      <c r="L50" s="332"/>
    </row>
    <row r="51" spans="2:14" ht="29.25" customHeight="1" x14ac:dyDescent="0.25">
      <c r="B51" s="333"/>
      <c r="C51" s="333"/>
      <c r="D51" s="333"/>
      <c r="E51" s="333"/>
      <c r="F51" s="333"/>
      <c r="G51" s="333"/>
      <c r="H51" s="333"/>
      <c r="I51" s="333"/>
      <c r="J51" s="333"/>
      <c r="K51" s="333"/>
      <c r="L51" s="333"/>
    </row>
    <row r="52" spans="2:14" ht="15.75" x14ac:dyDescent="0.25">
      <c r="B52" s="95"/>
      <c r="C52" s="95"/>
      <c r="D52" s="95"/>
      <c r="E52" s="95"/>
      <c r="F52" s="95"/>
      <c r="G52" s="95"/>
      <c r="H52" s="95"/>
      <c r="I52" s="95"/>
      <c r="J52" s="95"/>
      <c r="K52" s="95"/>
      <c r="L52" s="95"/>
    </row>
    <row r="53" spans="2:14" ht="50.1" customHeight="1" x14ac:dyDescent="0.3">
      <c r="B53" s="332" t="s">
        <v>408</v>
      </c>
      <c r="C53" s="332"/>
      <c r="D53" s="332"/>
      <c r="E53" s="332"/>
      <c r="F53" s="332"/>
      <c r="G53" s="332"/>
      <c r="H53" s="332"/>
      <c r="I53" s="332"/>
      <c r="J53" s="332"/>
      <c r="K53" s="332"/>
      <c r="L53" s="332"/>
    </row>
    <row r="54" spans="2:14" ht="36.75" customHeight="1" x14ac:dyDescent="0.25">
      <c r="B54" s="333"/>
      <c r="C54" s="333"/>
      <c r="D54" s="333"/>
      <c r="E54" s="333"/>
      <c r="F54" s="333"/>
      <c r="G54" s="333"/>
      <c r="H54" s="333"/>
      <c r="I54" s="333"/>
      <c r="J54" s="333"/>
      <c r="K54" s="333"/>
      <c r="L54" s="333"/>
    </row>
    <row r="55" spans="2:14" ht="15.75" x14ac:dyDescent="0.25">
      <c r="B55" s="91"/>
      <c r="C55" s="91"/>
      <c r="D55" s="91"/>
      <c r="E55" s="91"/>
      <c r="F55" s="91"/>
      <c r="G55" s="91"/>
      <c r="H55" s="91"/>
      <c r="I55" s="91"/>
      <c r="J55" s="91"/>
      <c r="K55" s="91"/>
      <c r="L55" s="91"/>
    </row>
    <row r="56" spans="2:14" ht="35.1" customHeight="1" x14ac:dyDescent="0.25">
      <c r="B56" s="332" t="s">
        <v>359</v>
      </c>
      <c r="C56" s="332"/>
      <c r="D56" s="332"/>
      <c r="E56" s="332"/>
      <c r="F56" s="332"/>
      <c r="G56" s="332"/>
      <c r="H56" s="332"/>
      <c r="I56" s="332"/>
      <c r="J56" s="332"/>
      <c r="K56" s="332"/>
      <c r="L56" s="332"/>
    </row>
    <row r="57" spans="2:14" ht="33.75" customHeight="1" x14ac:dyDescent="0.3">
      <c r="B57" s="333"/>
      <c r="C57" s="333"/>
      <c r="D57" s="333"/>
      <c r="E57" s="333"/>
      <c r="F57" s="333"/>
      <c r="G57" s="333"/>
      <c r="H57" s="333"/>
      <c r="I57" s="333"/>
      <c r="J57" s="333"/>
      <c r="K57" s="333"/>
      <c r="L57" s="333"/>
    </row>
    <row r="58" spans="2:14" ht="15.75" x14ac:dyDescent="0.25">
      <c r="B58" s="91"/>
      <c r="C58" s="91"/>
      <c r="D58" s="91"/>
      <c r="E58" s="91"/>
      <c r="F58" s="91"/>
      <c r="G58" s="91"/>
      <c r="H58" s="91"/>
      <c r="I58" s="91"/>
      <c r="J58" s="91"/>
      <c r="K58" s="91"/>
      <c r="L58" s="91"/>
    </row>
    <row r="59" spans="2:14" ht="15" customHeight="1" x14ac:dyDescent="0.25">
      <c r="B59" s="334" t="s">
        <v>252</v>
      </c>
      <c r="C59" s="334"/>
      <c r="D59" s="334"/>
      <c r="E59" s="334"/>
      <c r="F59" s="334"/>
      <c r="G59" s="334"/>
      <c r="H59" s="334"/>
      <c r="I59" s="334"/>
      <c r="J59" s="334"/>
      <c r="K59" s="334"/>
      <c r="L59" s="334"/>
      <c r="M59" s="26"/>
      <c r="N59" s="26"/>
    </row>
    <row r="60" spans="2:14" ht="33" customHeight="1" x14ac:dyDescent="0.25">
      <c r="B60" s="335"/>
      <c r="C60" s="335"/>
      <c r="D60" s="335"/>
      <c r="E60" s="335"/>
      <c r="F60" s="335"/>
      <c r="G60" s="335"/>
      <c r="H60" s="335"/>
      <c r="I60" s="335"/>
      <c r="J60" s="335"/>
      <c r="K60" s="335"/>
      <c r="L60" s="335"/>
      <c r="M60" s="26"/>
      <c r="N60" s="26"/>
    </row>
    <row r="61" spans="2:14" x14ac:dyDescent="0.25">
      <c r="B61" s="81"/>
      <c r="C61" s="81"/>
      <c r="D61" s="81"/>
      <c r="E61" s="81"/>
      <c r="F61" s="81"/>
      <c r="G61" s="81"/>
      <c r="H61" s="81"/>
      <c r="I61" s="81"/>
      <c r="J61" s="81"/>
      <c r="K61" s="81"/>
      <c r="L61" s="81"/>
      <c r="M61" s="81"/>
      <c r="N61" s="81"/>
    </row>
  </sheetData>
  <mergeCells count="59">
    <mergeCell ref="J22:J23"/>
    <mergeCell ref="B39:J39"/>
    <mergeCell ref="B21:J21"/>
    <mergeCell ref="C10:D10"/>
    <mergeCell ref="C4:F4"/>
    <mergeCell ref="H22:I22"/>
    <mergeCell ref="B27:C27"/>
    <mergeCell ref="B16:D16"/>
    <mergeCell ref="B17:L17"/>
    <mergeCell ref="B18:L19"/>
    <mergeCell ref="B29:C29"/>
    <mergeCell ref="B28:C28"/>
    <mergeCell ref="D22:D23"/>
    <mergeCell ref="E22:E23"/>
    <mergeCell ref="I15:J15"/>
    <mergeCell ref="J8:K8"/>
    <mergeCell ref="H8:I8"/>
    <mergeCell ref="C8:F8"/>
    <mergeCell ref="B13:D13"/>
    <mergeCell ref="B1:L1"/>
    <mergeCell ref="B2:L2"/>
    <mergeCell ref="A10:B10"/>
    <mergeCell ref="C6:F6"/>
    <mergeCell ref="J6:K6"/>
    <mergeCell ref="I7:J7"/>
    <mergeCell ref="J4:K4"/>
    <mergeCell ref="I12:I13"/>
    <mergeCell ref="J12:J13"/>
    <mergeCell ref="K12:K13"/>
    <mergeCell ref="J10:K10"/>
    <mergeCell ref="H10:I10"/>
    <mergeCell ref="F22:G22"/>
    <mergeCell ref="B22:C23"/>
    <mergeCell ref="B24:C24"/>
    <mergeCell ref="B25:C25"/>
    <mergeCell ref="B26:C26"/>
    <mergeCell ref="B36:C36"/>
    <mergeCell ref="B37:C37"/>
    <mergeCell ref="B38:C38"/>
    <mergeCell ref="B30:C30"/>
    <mergeCell ref="B31:C31"/>
    <mergeCell ref="B32:C32"/>
    <mergeCell ref="B33:C33"/>
    <mergeCell ref="B34:C34"/>
    <mergeCell ref="B35:C35"/>
    <mergeCell ref="B56:L56"/>
    <mergeCell ref="B57:L57"/>
    <mergeCell ref="B59:L59"/>
    <mergeCell ref="B60:L60"/>
    <mergeCell ref="B48:L48"/>
    <mergeCell ref="B50:L50"/>
    <mergeCell ref="B51:L51"/>
    <mergeCell ref="B53:L53"/>
    <mergeCell ref="B54:L54"/>
    <mergeCell ref="B41:L41"/>
    <mergeCell ref="B42:L42"/>
    <mergeCell ref="B44:L44"/>
    <mergeCell ref="B45:L45"/>
    <mergeCell ref="B47:L47"/>
  </mergeCells>
  <printOptions horizontalCentered="1"/>
  <pageMargins left="0.5" right="0.5" top="0.5" bottom="0.5" header="0.3" footer="0.3"/>
  <pageSetup scale="50" orientation="portrait" r:id="rId1"/>
  <headerFooter>
    <oddFooter>&amp;C&amp;P</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 lists'!$C$8:$C$10</xm:f>
          </x14:formula1>
          <xm:sqref>J4:K4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7"/>
  <sheetViews>
    <sheetView topLeftCell="A28" zoomScale="75" zoomScaleNormal="75" zoomScalePageLayoutView="55" workbookViewId="0">
      <selection activeCell="J27" sqref="J27"/>
    </sheetView>
  </sheetViews>
  <sheetFormatPr defaultColWidth="9.140625" defaultRowHeight="12.75" x14ac:dyDescent="0.2"/>
  <cols>
    <col min="1" max="1" width="4.7109375" style="41" customWidth="1"/>
    <col min="2" max="2" width="10" style="45" customWidth="1"/>
    <col min="3" max="3" width="7.42578125" style="41" customWidth="1"/>
    <col min="4" max="4" width="10.5703125" style="41" customWidth="1"/>
    <col min="5" max="5" width="12.140625" style="41" customWidth="1"/>
    <col min="6" max="6" width="10.7109375" style="41" customWidth="1"/>
    <col min="7" max="7" width="6.5703125" style="41" customWidth="1"/>
    <col min="8" max="8" width="13.5703125" style="41" customWidth="1"/>
    <col min="9" max="9" width="14.28515625" style="41" customWidth="1"/>
    <col min="10" max="10" width="8.42578125" style="41" customWidth="1"/>
    <col min="11" max="11" width="7.7109375" style="41" customWidth="1"/>
    <col min="12" max="12" width="8.28515625" style="41" customWidth="1"/>
    <col min="13" max="13" width="8" style="41" customWidth="1"/>
    <col min="14" max="14" width="7.28515625" style="41" customWidth="1"/>
    <col min="15" max="15" width="8.7109375" style="41" customWidth="1"/>
    <col min="16" max="16" width="8" style="41" customWidth="1"/>
    <col min="17" max="17" width="7.28515625" style="41" customWidth="1"/>
    <col min="18" max="18" width="8" style="41" customWidth="1"/>
    <col min="19" max="19" width="11.140625" style="41" bestFit="1" customWidth="1"/>
    <col min="20" max="20" width="8" style="41" customWidth="1"/>
    <col min="21" max="21" width="9" style="41" customWidth="1"/>
    <col min="22" max="22" width="3.42578125" style="41" customWidth="1"/>
    <col min="23" max="16384" width="9.140625" style="41"/>
  </cols>
  <sheetData>
    <row r="1" spans="1:22" s="22" customFormat="1" ht="30" customHeight="1" x14ac:dyDescent="0.25">
      <c r="B1" s="293" t="str">
        <f>CONCATENATE('Cover Page'!B1:L1," ", 'Cover Page'!B2:L2," - INSTREAM")</f>
        <v>FISH PASSAGE CREDIT CALCULATOR Version 1.1 - INSTREAM</v>
      </c>
      <c r="C1" s="293"/>
      <c r="D1" s="293"/>
      <c r="E1" s="293"/>
      <c r="F1" s="292"/>
      <c r="G1" s="62"/>
      <c r="K1" s="42"/>
      <c r="L1" s="42"/>
      <c r="M1" s="42"/>
      <c r="N1" s="42"/>
      <c r="O1" s="42"/>
      <c r="P1" s="42"/>
      <c r="Q1" s="42"/>
      <c r="R1" s="42"/>
      <c r="S1" s="174"/>
      <c r="T1" s="42"/>
      <c r="U1" s="24"/>
      <c r="V1" s="24"/>
    </row>
    <row r="2" spans="1:22" ht="15.75" x14ac:dyDescent="0.25">
      <c r="B2" s="29"/>
      <c r="C2" s="29"/>
      <c r="D2" s="29"/>
      <c r="E2" s="29"/>
      <c r="F2" s="44"/>
      <c r="G2" s="44"/>
      <c r="H2" s="29"/>
      <c r="I2" s="29"/>
      <c r="J2" s="33"/>
      <c r="K2" s="33"/>
      <c r="L2" s="33"/>
      <c r="M2" s="33"/>
      <c r="N2" s="33"/>
      <c r="P2" s="91"/>
      <c r="Q2" s="64" t="s">
        <v>80</v>
      </c>
      <c r="R2" s="30"/>
      <c r="S2" s="33"/>
      <c r="T2" s="33"/>
      <c r="U2" s="28"/>
      <c r="V2" s="28"/>
    </row>
    <row r="3" spans="1:22" s="22" customFormat="1" ht="30" customHeight="1" x14ac:dyDescent="0.25">
      <c r="B3" s="388" t="str">
        <f>IF(Project_Site = "","", Project_Site)</f>
        <v/>
      </c>
      <c r="C3" s="388"/>
      <c r="D3" s="388"/>
      <c r="E3" s="388"/>
      <c r="F3" s="388"/>
      <c r="G3" s="388"/>
      <c r="H3" s="388"/>
      <c r="I3" s="388"/>
      <c r="P3" s="104"/>
      <c r="Q3" s="64" t="s">
        <v>159</v>
      </c>
      <c r="R3" s="31"/>
    </row>
    <row r="4" spans="1:22" s="22" customFormat="1" x14ac:dyDescent="0.25">
      <c r="B4" s="38"/>
      <c r="C4" s="38"/>
    </row>
    <row r="5" spans="1:22" s="22" customFormat="1" x14ac:dyDescent="0.25">
      <c r="B5" s="38"/>
      <c r="C5" s="38"/>
      <c r="E5" s="38"/>
      <c r="F5" s="38"/>
      <c r="H5" s="37"/>
    </row>
    <row r="6" spans="1:22" s="22" customFormat="1" ht="24.95" customHeight="1" x14ac:dyDescent="0.25">
      <c r="B6" s="103" t="s">
        <v>231</v>
      </c>
      <c r="C6" s="390" t="s">
        <v>221</v>
      </c>
      <c r="D6" s="391"/>
      <c r="E6" s="391"/>
      <c r="F6" s="391"/>
      <c r="G6" s="391"/>
      <c r="H6" s="391"/>
      <c r="I6" s="391"/>
      <c r="J6" s="391"/>
      <c r="K6" s="391"/>
      <c r="L6" s="391"/>
      <c r="M6" s="391"/>
      <c r="N6" s="391"/>
      <c r="O6" s="391"/>
      <c r="P6" s="391"/>
      <c r="Q6" s="391"/>
      <c r="R6" s="391"/>
      <c r="S6" s="392"/>
      <c r="T6" s="104"/>
      <c r="U6" s="104"/>
    </row>
    <row r="7" spans="1:22" s="44" customFormat="1" ht="15.75" x14ac:dyDescent="0.25">
      <c r="B7" s="105"/>
      <c r="C7" s="106"/>
      <c r="D7" s="106"/>
      <c r="E7" s="106"/>
      <c r="F7" s="106"/>
      <c r="G7" s="106"/>
      <c r="H7" s="107"/>
      <c r="I7" s="107"/>
      <c r="J7" s="107"/>
      <c r="K7" s="107"/>
      <c r="L7" s="107"/>
      <c r="M7" s="107"/>
      <c r="N7" s="107"/>
      <c r="O7" s="107"/>
      <c r="P7" s="107"/>
      <c r="Q7" s="107"/>
      <c r="R7" s="95"/>
      <c r="S7" s="95"/>
      <c r="T7" s="95"/>
      <c r="U7" s="95"/>
    </row>
    <row r="8" spans="1:22" s="22" customFormat="1" ht="56.25" customHeight="1" x14ac:dyDescent="0.25">
      <c r="B8" s="108" t="s">
        <v>60</v>
      </c>
      <c r="C8" s="393" t="s">
        <v>284</v>
      </c>
      <c r="D8" s="393"/>
      <c r="E8" s="393"/>
      <c r="F8" s="393"/>
      <c r="G8" s="393"/>
      <c r="H8" s="393"/>
      <c r="I8" s="393"/>
      <c r="J8" s="393"/>
      <c r="K8" s="393"/>
      <c r="L8" s="393"/>
      <c r="M8" s="393"/>
      <c r="N8" s="393"/>
      <c r="O8" s="393"/>
      <c r="P8" s="393"/>
      <c r="Q8" s="393"/>
      <c r="R8" s="407" t="s">
        <v>19</v>
      </c>
      <c r="S8" s="408"/>
      <c r="T8" s="104"/>
      <c r="U8" s="104"/>
    </row>
    <row r="9" spans="1:22" s="22" customFormat="1" ht="50.1" customHeight="1" x14ac:dyDescent="0.25">
      <c r="B9" s="109"/>
      <c r="C9" s="394" t="s">
        <v>230</v>
      </c>
      <c r="D9" s="394"/>
      <c r="E9" s="394"/>
      <c r="F9" s="394"/>
      <c r="G9" s="394"/>
      <c r="H9" s="394"/>
      <c r="I9" s="394"/>
      <c r="J9" s="394"/>
      <c r="K9" s="394"/>
      <c r="L9" s="394"/>
      <c r="M9" s="394"/>
      <c r="N9" s="394"/>
      <c r="O9" s="394"/>
      <c r="P9" s="394"/>
      <c r="Q9" s="394"/>
      <c r="R9" s="369"/>
      <c r="S9" s="370"/>
      <c r="T9" s="104"/>
      <c r="U9" s="104"/>
    </row>
    <row r="10" spans="1:22" s="76" customFormat="1" ht="15" customHeight="1" x14ac:dyDescent="0.25">
      <c r="A10" s="289"/>
      <c r="B10" s="109"/>
      <c r="C10" s="371"/>
      <c r="D10" s="371"/>
      <c r="E10" s="371"/>
      <c r="F10" s="371"/>
      <c r="G10" s="371"/>
      <c r="H10" s="371"/>
      <c r="I10" s="371"/>
      <c r="J10" s="371"/>
      <c r="K10" s="371"/>
      <c r="L10" s="371"/>
      <c r="M10" s="371"/>
      <c r="N10" s="371"/>
      <c r="O10" s="371"/>
      <c r="P10" s="105"/>
      <c r="Q10" s="105"/>
      <c r="R10" s="106"/>
      <c r="S10" s="106"/>
      <c r="T10" s="106"/>
      <c r="U10" s="106"/>
      <c r="V10" s="78"/>
    </row>
    <row r="11" spans="1:22" s="19" customFormat="1" ht="16.5" customHeight="1" x14ac:dyDescent="0.25">
      <c r="B11" s="109"/>
      <c r="C11" s="400" t="s">
        <v>253</v>
      </c>
      <c r="D11" s="401"/>
      <c r="E11" s="401"/>
      <c r="F11" s="401"/>
      <c r="G11" s="401"/>
      <c r="H11" s="401"/>
      <c r="I11" s="401"/>
      <c r="J11" s="401"/>
      <c r="K11" s="401"/>
      <c r="L11" s="401"/>
      <c r="M11" s="401"/>
      <c r="N11" s="401"/>
      <c r="O11" s="401"/>
      <c r="P11" s="401"/>
      <c r="Q11" s="402"/>
      <c r="R11" s="104"/>
      <c r="S11" s="104"/>
      <c r="T11" s="104"/>
      <c r="U11" s="104"/>
      <c r="V11" s="22"/>
    </row>
    <row r="12" spans="1:22" s="19" customFormat="1" ht="27" customHeight="1" x14ac:dyDescent="0.25">
      <c r="B12" s="109"/>
      <c r="C12" s="403"/>
      <c r="D12" s="404"/>
      <c r="E12" s="404"/>
      <c r="F12" s="404"/>
      <c r="G12" s="404"/>
      <c r="H12" s="404"/>
      <c r="I12" s="404"/>
      <c r="J12" s="404"/>
      <c r="K12" s="404"/>
      <c r="L12" s="404"/>
      <c r="M12" s="404"/>
      <c r="N12" s="404"/>
      <c r="O12" s="404"/>
      <c r="P12" s="404"/>
      <c r="Q12" s="405"/>
      <c r="R12" s="104"/>
      <c r="S12" s="104"/>
      <c r="T12" s="104"/>
      <c r="U12" s="104"/>
      <c r="V12" s="22"/>
    </row>
    <row r="13" spans="1:22" s="44" customFormat="1" ht="15.75" x14ac:dyDescent="0.25">
      <c r="B13" s="105"/>
      <c r="C13" s="106"/>
      <c r="D13" s="106"/>
      <c r="E13" s="106"/>
      <c r="F13" s="106"/>
      <c r="G13" s="106"/>
      <c r="H13" s="107"/>
      <c r="I13" s="107"/>
      <c r="J13" s="107"/>
      <c r="K13" s="107"/>
      <c r="L13" s="107"/>
      <c r="M13" s="107"/>
      <c r="N13" s="107"/>
      <c r="O13" s="107"/>
      <c r="P13" s="107"/>
      <c r="Q13" s="107"/>
      <c r="R13" s="95"/>
      <c r="S13" s="95"/>
      <c r="T13" s="95"/>
      <c r="U13" s="95"/>
    </row>
    <row r="14" spans="1:22" ht="45.75" customHeight="1" x14ac:dyDescent="0.25">
      <c r="B14" s="108" t="s">
        <v>70</v>
      </c>
      <c r="C14" s="395" t="s">
        <v>285</v>
      </c>
      <c r="D14" s="395"/>
      <c r="E14" s="395"/>
      <c r="F14" s="395"/>
      <c r="G14" s="395"/>
      <c r="H14" s="395"/>
      <c r="I14" s="395"/>
      <c r="J14" s="395"/>
      <c r="K14" s="395"/>
      <c r="L14" s="395"/>
      <c r="M14" s="395"/>
      <c r="N14" s="395"/>
      <c r="O14" s="395"/>
      <c r="P14" s="395"/>
      <c r="Q14" s="395"/>
      <c r="R14" s="110" t="s">
        <v>79</v>
      </c>
      <c r="S14" s="91"/>
      <c r="T14" s="91"/>
      <c r="U14" s="91"/>
    </row>
    <row r="15" spans="1:22" ht="22.5" customHeight="1" x14ac:dyDescent="0.25">
      <c r="B15" s="111"/>
      <c r="C15" s="396" t="s">
        <v>286</v>
      </c>
      <c r="D15" s="396"/>
      <c r="E15" s="396"/>
      <c r="F15" s="396"/>
      <c r="G15" s="396"/>
      <c r="H15" s="396"/>
      <c r="I15" s="396"/>
      <c r="J15" s="396"/>
      <c r="K15" s="396"/>
      <c r="L15" s="396"/>
      <c r="M15" s="396"/>
      <c r="N15" s="396"/>
      <c r="O15" s="396"/>
      <c r="P15" s="396"/>
      <c r="Q15" s="396"/>
      <c r="R15" s="112"/>
      <c r="S15" s="91"/>
      <c r="T15" s="91"/>
      <c r="U15" s="91"/>
    </row>
    <row r="16" spans="1:22" ht="15.75" x14ac:dyDescent="0.25">
      <c r="B16" s="109"/>
      <c r="C16" s="113"/>
      <c r="D16" s="113"/>
      <c r="E16" s="113"/>
      <c r="F16" s="113"/>
      <c r="G16" s="113"/>
      <c r="H16" s="113"/>
      <c r="I16" s="114"/>
      <c r="J16" s="114"/>
      <c r="K16" s="114"/>
      <c r="L16" s="114"/>
      <c r="M16" s="114"/>
      <c r="N16" s="114"/>
      <c r="O16" s="114"/>
      <c r="P16" s="114"/>
      <c r="Q16" s="114"/>
      <c r="R16" s="91"/>
      <c r="S16" s="91"/>
      <c r="T16" s="91"/>
      <c r="U16" s="91"/>
    </row>
    <row r="17" spans="2:34" ht="84" customHeight="1" x14ac:dyDescent="0.25">
      <c r="B17" s="203" t="s">
        <v>84</v>
      </c>
      <c r="C17" s="396" t="s">
        <v>283</v>
      </c>
      <c r="D17" s="395"/>
      <c r="E17" s="395"/>
      <c r="F17" s="395"/>
      <c r="G17" s="395"/>
      <c r="H17" s="395"/>
      <c r="I17" s="395"/>
      <c r="J17" s="395"/>
      <c r="K17" s="395"/>
      <c r="L17" s="395"/>
      <c r="M17" s="395"/>
      <c r="N17" s="395"/>
      <c r="O17" s="395"/>
      <c r="P17" s="395"/>
      <c r="Q17" s="395"/>
      <c r="R17" s="110" t="s">
        <v>79</v>
      </c>
      <c r="S17" s="115" t="s">
        <v>41</v>
      </c>
      <c r="T17" s="91"/>
      <c r="U17" s="91"/>
    </row>
    <row r="18" spans="2:34" ht="20.25" customHeight="1" x14ac:dyDescent="0.25">
      <c r="B18" s="105"/>
      <c r="C18" s="396" t="s">
        <v>78</v>
      </c>
      <c r="D18" s="396"/>
      <c r="E18" s="396"/>
      <c r="F18" s="396"/>
      <c r="G18" s="396"/>
      <c r="H18" s="396"/>
      <c r="I18" s="396"/>
      <c r="J18" s="396"/>
      <c r="K18" s="396"/>
      <c r="L18" s="396"/>
      <c r="M18" s="396"/>
      <c r="N18" s="396"/>
      <c r="O18" s="396"/>
      <c r="P18" s="396"/>
      <c r="Q18" s="396"/>
      <c r="R18" s="112"/>
      <c r="S18" s="288" t="str">
        <f>IF(lenHData="","",IF(TotMiles=0,0,IF(lenHData/TotMiles*100&gt;100,100,lenHData/TotMiles*100)))</f>
        <v/>
      </c>
      <c r="T18" s="91"/>
      <c r="U18" s="91"/>
    </row>
    <row r="19" spans="2:34" ht="16.5" customHeight="1" x14ac:dyDescent="0.25">
      <c r="B19" s="109"/>
      <c r="C19" s="113"/>
      <c r="D19" s="113"/>
      <c r="E19" s="116"/>
      <c r="F19" s="116"/>
      <c r="G19" s="116"/>
      <c r="H19" s="116"/>
      <c r="I19" s="114"/>
      <c r="J19" s="114"/>
      <c r="K19" s="114"/>
      <c r="L19" s="114"/>
      <c r="M19" s="114"/>
      <c r="N19" s="114"/>
      <c r="O19" s="114"/>
      <c r="P19" s="114"/>
      <c r="Q19" s="114"/>
      <c r="R19" s="91"/>
      <c r="S19" s="91"/>
      <c r="T19" s="91"/>
      <c r="U19" s="91"/>
    </row>
    <row r="20" spans="2:34" ht="52.5" customHeight="1" x14ac:dyDescent="0.25">
      <c r="B20" s="204"/>
      <c r="C20" s="378" t="s">
        <v>287</v>
      </c>
      <c r="D20" s="378"/>
      <c r="E20" s="378"/>
      <c r="F20" s="378"/>
      <c r="G20" s="378"/>
      <c r="H20" s="378"/>
      <c r="I20" s="378"/>
      <c r="J20" s="378"/>
      <c r="K20" s="378"/>
      <c r="L20" s="378"/>
      <c r="M20" s="378"/>
      <c r="N20" s="378"/>
      <c r="O20" s="287"/>
      <c r="P20" s="379" t="s">
        <v>392</v>
      </c>
      <c r="Q20" s="379"/>
      <c r="R20" s="379"/>
      <c r="S20" s="379"/>
      <c r="T20" s="91"/>
      <c r="U20" s="91"/>
    </row>
    <row r="21" spans="2:34" ht="15.75" x14ac:dyDescent="0.25">
      <c r="B21" s="105"/>
      <c r="C21" s="113"/>
      <c r="D21" s="113"/>
      <c r="E21" s="113"/>
      <c r="F21" s="113"/>
      <c r="G21" s="113"/>
      <c r="H21" s="113"/>
      <c r="I21" s="114"/>
      <c r="J21" s="114"/>
      <c r="K21" s="114"/>
      <c r="L21" s="114"/>
      <c r="M21" s="114"/>
      <c r="N21" s="114"/>
      <c r="O21" s="114"/>
      <c r="P21" s="114"/>
      <c r="Q21" s="114"/>
      <c r="R21" s="91"/>
      <c r="S21" s="91"/>
      <c r="T21" s="91"/>
      <c r="U21" s="91"/>
    </row>
    <row r="22" spans="2:34" ht="49.5" customHeight="1" x14ac:dyDescent="0.25">
      <c r="B22" s="108" t="s">
        <v>69</v>
      </c>
      <c r="C22" s="395" t="s">
        <v>288</v>
      </c>
      <c r="D22" s="395"/>
      <c r="E22" s="395"/>
      <c r="F22" s="395"/>
      <c r="G22" s="395"/>
      <c r="H22" s="395"/>
      <c r="I22" s="395"/>
      <c r="J22" s="395"/>
      <c r="K22" s="395"/>
      <c r="L22" s="395"/>
      <c r="M22" s="395"/>
      <c r="N22" s="395"/>
      <c r="O22" s="395"/>
      <c r="P22" s="395"/>
      <c r="Q22" s="395"/>
      <c r="R22" s="395"/>
      <c r="S22" s="395"/>
      <c r="T22" s="91"/>
      <c r="U22" s="91"/>
    </row>
    <row r="23" spans="2:34" ht="12" customHeight="1" x14ac:dyDescent="0.25">
      <c r="B23" s="105"/>
      <c r="C23" s="113"/>
      <c r="D23" s="113"/>
      <c r="E23" s="117"/>
      <c r="F23" s="117"/>
      <c r="G23" s="117"/>
      <c r="H23" s="117"/>
      <c r="I23" s="117"/>
      <c r="J23" s="117"/>
      <c r="K23" s="117"/>
      <c r="L23" s="117"/>
      <c r="M23" s="117"/>
      <c r="N23" s="117"/>
      <c r="O23" s="117"/>
      <c r="P23" s="117"/>
      <c r="Q23" s="117"/>
      <c r="R23" s="91"/>
      <c r="S23" s="91"/>
      <c r="T23" s="91"/>
      <c r="U23" s="91"/>
    </row>
    <row r="24" spans="2:34" ht="12.75" customHeight="1" x14ac:dyDescent="0.2">
      <c r="B24" s="382" t="s">
        <v>103</v>
      </c>
      <c r="C24" s="382" t="s">
        <v>79</v>
      </c>
      <c r="D24" s="384" t="s">
        <v>218</v>
      </c>
      <c r="E24" s="385"/>
      <c r="F24" s="386"/>
      <c r="G24" s="384" t="s">
        <v>219</v>
      </c>
      <c r="H24" s="385"/>
      <c r="I24" s="385"/>
      <c r="J24" s="386"/>
      <c r="K24" s="397" t="s">
        <v>118</v>
      </c>
      <c r="L24" s="398"/>
      <c r="M24" s="398"/>
      <c r="N24" s="398"/>
      <c r="O24" s="398"/>
      <c r="P24" s="398"/>
      <c r="Q24" s="398"/>
      <c r="R24" s="398"/>
      <c r="S24" s="398"/>
      <c r="T24" s="398"/>
      <c r="U24" s="399"/>
      <c r="V24" s="46"/>
      <c r="W24" s="46"/>
      <c r="X24" s="46"/>
      <c r="Y24" s="46"/>
      <c r="Z24" s="46"/>
      <c r="AA24" s="46"/>
      <c r="AB24" s="46"/>
      <c r="AC24" s="46"/>
      <c r="AD24" s="46"/>
      <c r="AE24" s="46"/>
      <c r="AF24" s="46"/>
      <c r="AG24" s="46"/>
      <c r="AH24" s="47"/>
    </row>
    <row r="25" spans="2:34" ht="24" customHeight="1" x14ac:dyDescent="0.2">
      <c r="B25" s="406"/>
      <c r="C25" s="406"/>
      <c r="D25" s="382" t="s">
        <v>13</v>
      </c>
      <c r="E25" s="382" t="s">
        <v>11</v>
      </c>
      <c r="F25" s="382" t="s">
        <v>12</v>
      </c>
      <c r="G25" s="382" t="s">
        <v>119</v>
      </c>
      <c r="H25" s="389" t="s">
        <v>232</v>
      </c>
      <c r="I25" s="389"/>
      <c r="J25" s="382" t="s">
        <v>254</v>
      </c>
      <c r="K25" s="372" t="s">
        <v>13</v>
      </c>
      <c r="L25" s="373"/>
      <c r="M25" s="374"/>
      <c r="N25" s="375" t="s">
        <v>11</v>
      </c>
      <c r="O25" s="376"/>
      <c r="P25" s="376"/>
      <c r="Q25" s="376"/>
      <c r="R25" s="377"/>
      <c r="S25" s="375" t="s">
        <v>12</v>
      </c>
      <c r="T25" s="376"/>
      <c r="U25" s="377"/>
      <c r="V25" s="46"/>
      <c r="W25" s="46"/>
      <c r="X25" s="46"/>
      <c r="Y25" s="46"/>
      <c r="Z25" s="46"/>
      <c r="AA25" s="46"/>
      <c r="AB25" s="46"/>
      <c r="AC25" s="46"/>
      <c r="AD25" s="46"/>
      <c r="AE25" s="46"/>
      <c r="AF25" s="46"/>
      <c r="AG25" s="46"/>
    </row>
    <row r="26" spans="2:34" ht="42.75" customHeight="1" x14ac:dyDescent="0.2">
      <c r="B26" s="383"/>
      <c r="C26" s="383"/>
      <c r="D26" s="383"/>
      <c r="E26" s="383"/>
      <c r="F26" s="383"/>
      <c r="G26" s="383"/>
      <c r="H26" s="118" t="s">
        <v>233</v>
      </c>
      <c r="I26" s="118" t="s">
        <v>234</v>
      </c>
      <c r="J26" s="383"/>
      <c r="K26" s="119" t="s">
        <v>104</v>
      </c>
      <c r="L26" s="119" t="s">
        <v>105</v>
      </c>
      <c r="M26" s="119" t="s">
        <v>106</v>
      </c>
      <c r="N26" s="119" t="s">
        <v>107</v>
      </c>
      <c r="O26" s="119" t="s">
        <v>108</v>
      </c>
      <c r="P26" s="119" t="s">
        <v>158</v>
      </c>
      <c r="Q26" s="119" t="s">
        <v>155</v>
      </c>
      <c r="R26" s="119" t="s">
        <v>156</v>
      </c>
      <c r="S26" s="119" t="s">
        <v>110</v>
      </c>
      <c r="T26" s="119" t="s">
        <v>111</v>
      </c>
      <c r="U26" s="119" t="s">
        <v>112</v>
      </c>
    </row>
    <row r="27" spans="2:34" ht="15" customHeight="1" x14ac:dyDescent="0.3">
      <c r="B27" s="295">
        <v>1</v>
      </c>
      <c r="C27" s="296"/>
      <c r="D27" s="285"/>
      <c r="E27" s="285"/>
      <c r="F27" s="285"/>
      <c r="G27" s="297"/>
      <c r="H27" s="298"/>
      <c r="I27" s="298"/>
      <c r="J27" s="299" t="str">
        <f>IF(H27="","",(H27+I27))</f>
        <v/>
      </c>
      <c r="K27" s="297"/>
      <c r="L27" s="297"/>
      <c r="M27" s="297"/>
      <c r="N27" s="297"/>
      <c r="O27" s="297"/>
      <c r="P27" s="297"/>
      <c r="Q27" s="297"/>
      <c r="R27" s="297"/>
      <c r="S27" s="297"/>
      <c r="T27" s="297"/>
      <c r="U27" s="297"/>
    </row>
    <row r="28" spans="2:34" ht="15.6" x14ac:dyDescent="0.3">
      <c r="B28" s="295">
        <v>2</v>
      </c>
      <c r="C28" s="296"/>
      <c r="D28" s="285"/>
      <c r="E28" s="285"/>
      <c r="F28" s="285"/>
      <c r="G28" s="297"/>
      <c r="H28" s="298"/>
      <c r="I28" s="298"/>
      <c r="J28" s="299" t="str">
        <f t="shared" ref="J28:J31" si="0">IF(H28="","",(H28+I28))</f>
        <v/>
      </c>
      <c r="K28" s="297"/>
      <c r="L28" s="297"/>
      <c r="M28" s="297"/>
      <c r="N28" s="297"/>
      <c r="O28" s="297"/>
      <c r="P28" s="297"/>
      <c r="Q28" s="297"/>
      <c r="R28" s="297"/>
      <c r="S28" s="297"/>
      <c r="T28" s="297"/>
      <c r="U28" s="297"/>
    </row>
    <row r="29" spans="2:34" ht="15" customHeight="1" x14ac:dyDescent="0.3">
      <c r="B29" s="295">
        <v>3</v>
      </c>
      <c r="C29" s="296"/>
      <c r="D29" s="285"/>
      <c r="E29" s="285"/>
      <c r="F29" s="285"/>
      <c r="G29" s="297"/>
      <c r="H29" s="298"/>
      <c r="I29" s="298"/>
      <c r="J29" s="299" t="str">
        <f t="shared" si="0"/>
        <v/>
      </c>
      <c r="K29" s="297"/>
      <c r="L29" s="297"/>
      <c r="M29" s="297"/>
      <c r="N29" s="297"/>
      <c r="O29" s="297"/>
      <c r="P29" s="297"/>
      <c r="Q29" s="297"/>
      <c r="R29" s="297"/>
      <c r="S29" s="297"/>
      <c r="T29" s="297"/>
      <c r="U29" s="297"/>
    </row>
    <row r="30" spans="2:34" ht="15" customHeight="1" x14ac:dyDescent="0.3">
      <c r="B30" s="295">
        <v>4</v>
      </c>
      <c r="C30" s="296"/>
      <c r="D30" s="285"/>
      <c r="E30" s="285"/>
      <c r="F30" s="285"/>
      <c r="G30" s="297"/>
      <c r="H30" s="298"/>
      <c r="I30" s="298"/>
      <c r="J30" s="299" t="str">
        <f t="shared" si="0"/>
        <v/>
      </c>
      <c r="K30" s="297"/>
      <c r="L30" s="297"/>
      <c r="M30" s="297"/>
      <c r="N30" s="297"/>
      <c r="O30" s="297"/>
      <c r="P30" s="297"/>
      <c r="Q30" s="297"/>
      <c r="R30" s="297"/>
      <c r="S30" s="297"/>
      <c r="T30" s="297"/>
      <c r="U30" s="297"/>
    </row>
    <row r="31" spans="2:34" ht="15" customHeight="1" x14ac:dyDescent="0.3">
      <c r="B31" s="295">
        <v>5</v>
      </c>
      <c r="C31" s="297"/>
      <c r="D31" s="285"/>
      <c r="E31" s="285"/>
      <c r="F31" s="285"/>
      <c r="G31" s="297"/>
      <c r="H31" s="297"/>
      <c r="I31" s="297"/>
      <c r="J31" s="299" t="str">
        <f t="shared" si="0"/>
        <v/>
      </c>
      <c r="K31" s="297"/>
      <c r="L31" s="297"/>
      <c r="M31" s="297"/>
      <c r="N31" s="297"/>
      <c r="O31" s="297"/>
      <c r="P31" s="297"/>
      <c r="Q31" s="297"/>
      <c r="R31" s="297"/>
      <c r="S31" s="297"/>
      <c r="T31" s="297"/>
      <c r="U31" s="297"/>
    </row>
    <row r="32" spans="2:34" ht="15" customHeight="1" x14ac:dyDescent="0.3">
      <c r="B32" s="295">
        <v>6</v>
      </c>
      <c r="C32" s="297"/>
      <c r="D32" s="285"/>
      <c r="E32" s="285"/>
      <c r="F32" s="285"/>
      <c r="G32" s="297"/>
      <c r="H32" s="297"/>
      <c r="I32" s="297"/>
      <c r="J32" s="299" t="str">
        <f>IF(H32="","",(H32+I32))</f>
        <v/>
      </c>
      <c r="K32" s="297"/>
      <c r="L32" s="297"/>
      <c r="M32" s="297"/>
      <c r="N32" s="297"/>
      <c r="O32" s="297"/>
      <c r="P32" s="297"/>
      <c r="Q32" s="297"/>
      <c r="R32" s="297"/>
      <c r="S32" s="297"/>
      <c r="T32" s="297"/>
      <c r="U32" s="297"/>
    </row>
    <row r="33" spans="2:21" ht="15.6" x14ac:dyDescent="0.3">
      <c r="B33" s="295">
        <v>7</v>
      </c>
      <c r="C33" s="297"/>
      <c r="D33" s="285"/>
      <c r="E33" s="285"/>
      <c r="F33" s="285"/>
      <c r="G33" s="297"/>
      <c r="H33" s="297"/>
      <c r="I33" s="297"/>
      <c r="J33" s="299" t="str">
        <f t="shared" ref="J33:J37" si="1">IF(H33="","",(H33+I33))</f>
        <v/>
      </c>
      <c r="K33" s="297"/>
      <c r="L33" s="297"/>
      <c r="M33" s="297"/>
      <c r="N33" s="297"/>
      <c r="O33" s="297"/>
      <c r="P33" s="297"/>
      <c r="Q33" s="297"/>
      <c r="R33" s="297"/>
      <c r="S33" s="297"/>
      <c r="T33" s="297"/>
      <c r="U33" s="297"/>
    </row>
    <row r="34" spans="2:21" ht="15" customHeight="1" x14ac:dyDescent="0.3">
      <c r="B34" s="295">
        <v>8</v>
      </c>
      <c r="C34" s="297"/>
      <c r="D34" s="285"/>
      <c r="E34" s="285"/>
      <c r="F34" s="285"/>
      <c r="G34" s="297"/>
      <c r="H34" s="297"/>
      <c r="I34" s="297"/>
      <c r="J34" s="299" t="str">
        <f t="shared" si="1"/>
        <v/>
      </c>
      <c r="K34" s="297"/>
      <c r="L34" s="297"/>
      <c r="M34" s="297"/>
      <c r="N34" s="297"/>
      <c r="O34" s="297"/>
      <c r="P34" s="297"/>
      <c r="Q34" s="297"/>
      <c r="R34" s="297"/>
      <c r="S34" s="297"/>
      <c r="T34" s="297"/>
      <c r="U34" s="297"/>
    </row>
    <row r="35" spans="2:21" ht="15" customHeight="1" x14ac:dyDescent="0.3">
      <c r="B35" s="295">
        <v>9</v>
      </c>
      <c r="C35" s="297"/>
      <c r="D35" s="285"/>
      <c r="E35" s="285"/>
      <c r="F35" s="285"/>
      <c r="G35" s="297"/>
      <c r="H35" s="297"/>
      <c r="I35" s="297"/>
      <c r="J35" s="299" t="str">
        <f t="shared" si="1"/>
        <v/>
      </c>
      <c r="K35" s="297"/>
      <c r="L35" s="297"/>
      <c r="M35" s="297"/>
      <c r="N35" s="297"/>
      <c r="O35" s="297"/>
      <c r="P35" s="297"/>
      <c r="Q35" s="297"/>
      <c r="R35" s="297"/>
      <c r="S35" s="297"/>
      <c r="T35" s="297"/>
      <c r="U35" s="297"/>
    </row>
    <row r="36" spans="2:21" ht="15" customHeight="1" x14ac:dyDescent="0.3">
      <c r="B36" s="295">
        <v>10</v>
      </c>
      <c r="C36" s="297"/>
      <c r="D36" s="285"/>
      <c r="E36" s="285"/>
      <c r="F36" s="285"/>
      <c r="G36" s="297"/>
      <c r="H36" s="297"/>
      <c r="I36" s="297"/>
      <c r="J36" s="299" t="str">
        <f t="shared" si="1"/>
        <v/>
      </c>
      <c r="K36" s="297"/>
      <c r="L36" s="297"/>
      <c r="M36" s="297"/>
      <c r="N36" s="297"/>
      <c r="O36" s="297"/>
      <c r="P36" s="297"/>
      <c r="Q36" s="297"/>
      <c r="R36" s="297"/>
      <c r="S36" s="297"/>
      <c r="T36" s="297"/>
      <c r="U36" s="297"/>
    </row>
    <row r="37" spans="2:21" ht="15.6" x14ac:dyDescent="0.3">
      <c r="B37" s="295">
        <v>11</v>
      </c>
      <c r="C37" s="297"/>
      <c r="D37" s="285"/>
      <c r="E37" s="285"/>
      <c r="F37" s="285"/>
      <c r="G37" s="297"/>
      <c r="H37" s="297"/>
      <c r="I37" s="297"/>
      <c r="J37" s="299" t="str">
        <f t="shared" si="1"/>
        <v/>
      </c>
      <c r="K37" s="297"/>
      <c r="L37" s="297"/>
      <c r="M37" s="297"/>
      <c r="N37" s="297"/>
      <c r="O37" s="297"/>
      <c r="P37" s="297"/>
      <c r="Q37" s="297"/>
      <c r="R37" s="297"/>
      <c r="S37" s="297"/>
      <c r="T37" s="297"/>
      <c r="U37" s="297"/>
    </row>
    <row r="38" spans="2:21" ht="15.6" x14ac:dyDescent="0.3">
      <c r="B38" s="295">
        <v>12</v>
      </c>
      <c r="C38" s="297"/>
      <c r="D38" s="285"/>
      <c r="E38" s="285"/>
      <c r="F38" s="285"/>
      <c r="G38" s="297"/>
      <c r="H38" s="297"/>
      <c r="I38" s="297"/>
      <c r="J38" s="299" t="str">
        <f>IF(H38="","",(H38+I38))</f>
        <v/>
      </c>
      <c r="K38" s="297"/>
      <c r="L38" s="297"/>
      <c r="M38" s="297"/>
      <c r="N38" s="297"/>
      <c r="O38" s="297"/>
      <c r="P38" s="297"/>
      <c r="Q38" s="297"/>
      <c r="R38" s="297"/>
      <c r="S38" s="297"/>
      <c r="T38" s="297"/>
      <c r="U38" s="297"/>
    </row>
    <row r="39" spans="2:21" ht="15.6" x14ac:dyDescent="0.3">
      <c r="B39" s="295">
        <v>13</v>
      </c>
      <c r="C39" s="297"/>
      <c r="D39" s="285"/>
      <c r="E39" s="285"/>
      <c r="F39" s="285"/>
      <c r="G39" s="297"/>
      <c r="H39" s="297"/>
      <c r="I39" s="297"/>
      <c r="J39" s="299" t="str">
        <f>IF(H39="","",(H39+I39))</f>
        <v/>
      </c>
      <c r="K39" s="297"/>
      <c r="L39" s="297"/>
      <c r="M39" s="297"/>
      <c r="N39" s="297"/>
      <c r="O39" s="297"/>
      <c r="P39" s="297"/>
      <c r="Q39" s="297"/>
      <c r="R39" s="297"/>
      <c r="S39" s="297"/>
      <c r="T39" s="297"/>
      <c r="U39" s="297"/>
    </row>
    <row r="40" spans="2:21" ht="15.6" x14ac:dyDescent="0.3">
      <c r="B40" s="295">
        <v>14</v>
      </c>
      <c r="C40" s="297"/>
      <c r="D40" s="285"/>
      <c r="E40" s="285"/>
      <c r="F40" s="285"/>
      <c r="G40" s="297"/>
      <c r="H40" s="297"/>
      <c r="I40" s="297"/>
      <c r="J40" s="299" t="str">
        <f>IF(H40="","",(H40+I40))</f>
        <v/>
      </c>
      <c r="K40" s="297"/>
      <c r="L40" s="297"/>
      <c r="M40" s="297"/>
      <c r="N40" s="297"/>
      <c r="O40" s="297"/>
      <c r="P40" s="297"/>
      <c r="Q40" s="297"/>
      <c r="R40" s="297"/>
      <c r="S40" s="297"/>
      <c r="T40" s="297"/>
      <c r="U40" s="297"/>
    </row>
    <row r="41" spans="2:21" ht="15.6" x14ac:dyDescent="0.3">
      <c r="B41" s="295">
        <v>15</v>
      </c>
      <c r="C41" s="297"/>
      <c r="D41" s="285"/>
      <c r="E41" s="285"/>
      <c r="F41" s="285"/>
      <c r="G41" s="297"/>
      <c r="H41" s="297"/>
      <c r="I41" s="297"/>
      <c r="J41" s="299" t="str">
        <f t="shared" ref="J41" si="2">IF(H41="","",(H41+I41))</f>
        <v/>
      </c>
      <c r="K41" s="297"/>
      <c r="L41" s="297"/>
      <c r="M41" s="297"/>
      <c r="N41" s="297"/>
      <c r="O41" s="297"/>
      <c r="P41" s="297"/>
      <c r="Q41" s="297"/>
      <c r="R41" s="297"/>
      <c r="S41" s="297"/>
      <c r="T41" s="297"/>
      <c r="U41" s="297"/>
    </row>
    <row r="42" spans="2:21" ht="15.6" x14ac:dyDescent="0.3">
      <c r="B42" s="295">
        <v>16</v>
      </c>
      <c r="C42" s="297"/>
      <c r="D42" s="285"/>
      <c r="E42" s="285"/>
      <c r="F42" s="285"/>
      <c r="G42" s="297"/>
      <c r="H42" s="297"/>
      <c r="I42" s="297"/>
      <c r="J42" s="299" t="str">
        <f>IF(H42="","",(H42+I42))</f>
        <v/>
      </c>
      <c r="K42" s="297"/>
      <c r="L42" s="297"/>
      <c r="M42" s="297"/>
      <c r="N42" s="297"/>
      <c r="O42" s="297"/>
      <c r="P42" s="297"/>
      <c r="Q42" s="297"/>
      <c r="R42" s="297"/>
      <c r="S42" s="297"/>
      <c r="T42" s="297"/>
      <c r="U42" s="297"/>
    </row>
    <row r="43" spans="2:21" ht="15.6" x14ac:dyDescent="0.3">
      <c r="B43" s="295">
        <v>17</v>
      </c>
      <c r="C43" s="297"/>
      <c r="D43" s="285"/>
      <c r="E43" s="285"/>
      <c r="F43" s="285"/>
      <c r="G43" s="297"/>
      <c r="H43" s="297"/>
      <c r="I43" s="297"/>
      <c r="J43" s="299" t="str">
        <f t="shared" ref="J43:J51" si="3">IF(H43="","",(H43+I43))</f>
        <v/>
      </c>
      <c r="K43" s="297"/>
      <c r="L43" s="297"/>
      <c r="M43" s="297"/>
      <c r="N43" s="297"/>
      <c r="O43" s="297"/>
      <c r="P43" s="297"/>
      <c r="Q43" s="297"/>
      <c r="R43" s="297"/>
      <c r="S43" s="297"/>
      <c r="T43" s="297"/>
      <c r="U43" s="297"/>
    </row>
    <row r="44" spans="2:21" ht="15" customHeight="1" x14ac:dyDescent="0.3">
      <c r="B44" s="295">
        <v>18</v>
      </c>
      <c r="C44" s="297"/>
      <c r="D44" s="285"/>
      <c r="E44" s="285"/>
      <c r="F44" s="285"/>
      <c r="G44" s="297"/>
      <c r="H44" s="297"/>
      <c r="I44" s="297"/>
      <c r="J44" s="299" t="str">
        <f t="shared" si="3"/>
        <v/>
      </c>
      <c r="K44" s="297"/>
      <c r="L44" s="297"/>
      <c r="M44" s="297"/>
      <c r="N44" s="297"/>
      <c r="O44" s="297"/>
      <c r="P44" s="297"/>
      <c r="Q44" s="297"/>
      <c r="R44" s="297"/>
      <c r="S44" s="297"/>
      <c r="T44" s="297"/>
      <c r="U44" s="297"/>
    </row>
    <row r="45" spans="2:21" ht="15" customHeight="1" x14ac:dyDescent="0.3">
      <c r="B45" s="295">
        <v>19</v>
      </c>
      <c r="C45" s="297"/>
      <c r="D45" s="285"/>
      <c r="E45" s="285"/>
      <c r="F45" s="285"/>
      <c r="G45" s="297"/>
      <c r="H45" s="297"/>
      <c r="I45" s="297"/>
      <c r="J45" s="299" t="str">
        <f t="shared" si="3"/>
        <v/>
      </c>
      <c r="K45" s="297"/>
      <c r="L45" s="297"/>
      <c r="M45" s="297"/>
      <c r="N45" s="297"/>
      <c r="O45" s="297"/>
      <c r="P45" s="297"/>
      <c r="Q45" s="297"/>
      <c r="R45" s="297"/>
      <c r="S45" s="297"/>
      <c r="T45" s="297"/>
      <c r="U45" s="297"/>
    </row>
    <row r="46" spans="2:21" ht="15" customHeight="1" x14ac:dyDescent="0.3">
      <c r="B46" s="295">
        <v>20</v>
      </c>
      <c r="C46" s="297"/>
      <c r="D46" s="285"/>
      <c r="E46" s="285"/>
      <c r="F46" s="285"/>
      <c r="G46" s="297"/>
      <c r="H46" s="297"/>
      <c r="I46" s="297"/>
      <c r="J46" s="299" t="str">
        <f t="shared" si="3"/>
        <v/>
      </c>
      <c r="K46" s="297"/>
      <c r="L46" s="297"/>
      <c r="M46" s="297"/>
      <c r="N46" s="297"/>
      <c r="O46" s="297"/>
      <c r="P46" s="297"/>
      <c r="Q46" s="297"/>
      <c r="R46" s="297"/>
      <c r="S46" s="297"/>
      <c r="T46" s="297"/>
      <c r="U46" s="297"/>
    </row>
    <row r="47" spans="2:21" ht="15.6" x14ac:dyDescent="0.3">
      <c r="B47" s="295">
        <v>21</v>
      </c>
      <c r="C47" s="297"/>
      <c r="D47" s="285"/>
      <c r="E47" s="285"/>
      <c r="F47" s="285"/>
      <c r="G47" s="297"/>
      <c r="H47" s="297"/>
      <c r="I47" s="297"/>
      <c r="J47" s="299" t="str">
        <f t="shared" si="3"/>
        <v/>
      </c>
      <c r="K47" s="297"/>
      <c r="L47" s="297"/>
      <c r="M47" s="297"/>
      <c r="N47" s="297"/>
      <c r="O47" s="297"/>
      <c r="P47" s="297"/>
      <c r="Q47" s="297"/>
      <c r="R47" s="297"/>
      <c r="S47" s="297"/>
      <c r="T47" s="297"/>
      <c r="U47" s="297"/>
    </row>
    <row r="48" spans="2:21" ht="15.6" x14ac:dyDescent="0.3">
      <c r="B48" s="295">
        <v>22</v>
      </c>
      <c r="C48" s="297"/>
      <c r="D48" s="285"/>
      <c r="E48" s="285"/>
      <c r="F48" s="285"/>
      <c r="G48" s="297"/>
      <c r="H48" s="297"/>
      <c r="I48" s="297"/>
      <c r="J48" s="299" t="str">
        <f>IF(H48="","",(H48+I48))</f>
        <v/>
      </c>
      <c r="K48" s="297"/>
      <c r="L48" s="297"/>
      <c r="M48" s="297"/>
      <c r="N48" s="297"/>
      <c r="O48" s="297"/>
      <c r="P48" s="297"/>
      <c r="Q48" s="297"/>
      <c r="R48" s="297"/>
      <c r="S48" s="297"/>
      <c r="T48" s="297"/>
      <c r="U48" s="297"/>
    </row>
    <row r="49" spans="1:22" ht="15.6" x14ac:dyDescent="0.3">
      <c r="B49" s="295">
        <v>23</v>
      </c>
      <c r="C49" s="297"/>
      <c r="D49" s="285"/>
      <c r="E49" s="285"/>
      <c r="F49" s="285"/>
      <c r="G49" s="297"/>
      <c r="H49" s="297"/>
      <c r="I49" s="297"/>
      <c r="J49" s="299" t="str">
        <f>IF(H49="","",(H49+I49))</f>
        <v/>
      </c>
      <c r="K49" s="297"/>
      <c r="L49" s="297"/>
      <c r="M49" s="297"/>
      <c r="N49" s="297"/>
      <c r="O49" s="297"/>
      <c r="P49" s="297"/>
      <c r="Q49" s="297"/>
      <c r="R49" s="297"/>
      <c r="S49" s="297"/>
      <c r="T49" s="297"/>
      <c r="U49" s="297"/>
    </row>
    <row r="50" spans="1:22" ht="15.6" x14ac:dyDescent="0.3">
      <c r="B50" s="295">
        <v>24</v>
      </c>
      <c r="C50" s="297"/>
      <c r="D50" s="285"/>
      <c r="E50" s="285"/>
      <c r="F50" s="285"/>
      <c r="G50" s="297"/>
      <c r="H50" s="297"/>
      <c r="I50" s="297"/>
      <c r="J50" s="299" t="str">
        <f>IF(H50="","",(H50+I50))</f>
        <v/>
      </c>
      <c r="K50" s="297"/>
      <c r="L50" s="297"/>
      <c r="M50" s="297"/>
      <c r="N50" s="297"/>
      <c r="O50" s="297"/>
      <c r="P50" s="297"/>
      <c r="Q50" s="297"/>
      <c r="R50" s="297"/>
      <c r="S50" s="297"/>
      <c r="T50" s="297"/>
      <c r="U50" s="297"/>
    </row>
    <row r="51" spans="1:22" ht="15.6" x14ac:dyDescent="0.3">
      <c r="B51" s="295">
        <v>25</v>
      </c>
      <c r="C51" s="300"/>
      <c r="D51" s="285"/>
      <c r="E51" s="285"/>
      <c r="F51" s="285"/>
      <c r="G51" s="298"/>
      <c r="H51" s="298"/>
      <c r="I51" s="298"/>
      <c r="J51" s="299" t="str">
        <f t="shared" si="3"/>
        <v/>
      </c>
      <c r="K51" s="298"/>
      <c r="L51" s="298"/>
      <c r="M51" s="298"/>
      <c r="N51" s="298"/>
      <c r="O51" s="298"/>
      <c r="P51" s="298"/>
      <c r="Q51" s="298"/>
      <c r="R51" s="298"/>
      <c r="S51" s="298"/>
      <c r="T51" s="298"/>
      <c r="U51" s="298"/>
    </row>
    <row r="52" spans="1:22" s="24" customFormat="1" ht="13.5" customHeight="1" x14ac:dyDescent="0.3">
      <c r="A52" s="289"/>
      <c r="B52" s="48"/>
      <c r="C52" s="83"/>
      <c r="D52" s="387" t="s">
        <v>406</v>
      </c>
      <c r="E52" s="387"/>
      <c r="F52" s="387"/>
      <c r="G52" s="387"/>
      <c r="U52" s="83"/>
      <c r="V52" s="83"/>
    </row>
    <row r="53" spans="1:22" ht="13.9" x14ac:dyDescent="0.3">
      <c r="B53" s="49"/>
      <c r="E53" s="206" t="s">
        <v>104</v>
      </c>
      <c r="F53" s="66" t="s">
        <v>171</v>
      </c>
      <c r="G53" s="66"/>
      <c r="I53" s="206" t="s">
        <v>108</v>
      </c>
      <c r="J53" s="66" t="s">
        <v>181</v>
      </c>
      <c r="K53" s="66"/>
      <c r="L53" s="78"/>
      <c r="M53" s="78"/>
      <c r="N53" s="78"/>
      <c r="O53" s="67" t="s">
        <v>110</v>
      </c>
      <c r="P53" s="66" t="s">
        <v>173</v>
      </c>
      <c r="Q53" s="83"/>
      <c r="U53" s="66"/>
    </row>
    <row r="54" spans="1:22" ht="13.9" x14ac:dyDescent="0.3">
      <c r="B54" s="49"/>
      <c r="E54" s="206" t="s">
        <v>105</v>
      </c>
      <c r="F54" s="66" t="s">
        <v>179</v>
      </c>
      <c r="G54" s="66"/>
      <c r="I54" s="206" t="s">
        <v>109</v>
      </c>
      <c r="J54" s="66" t="s">
        <v>182</v>
      </c>
      <c r="K54" s="66"/>
      <c r="M54" s="66"/>
      <c r="O54" s="67" t="s">
        <v>111</v>
      </c>
      <c r="P54" s="66" t="s">
        <v>185</v>
      </c>
      <c r="U54" s="66"/>
    </row>
    <row r="55" spans="1:22" ht="13.9" x14ac:dyDescent="0.3">
      <c r="B55" s="49"/>
      <c r="E55" s="206" t="s">
        <v>106</v>
      </c>
      <c r="F55" s="66" t="s">
        <v>180</v>
      </c>
      <c r="G55" s="66"/>
      <c r="I55" s="206" t="s">
        <v>155</v>
      </c>
      <c r="J55" s="66" t="s">
        <v>183</v>
      </c>
      <c r="K55" s="66"/>
      <c r="M55" s="66"/>
      <c r="O55" s="67" t="s">
        <v>112</v>
      </c>
      <c r="P55" s="66" t="s">
        <v>186</v>
      </c>
      <c r="U55" s="66"/>
    </row>
    <row r="56" spans="1:22" ht="13.9" x14ac:dyDescent="0.3">
      <c r="B56" s="49"/>
      <c r="E56" s="206" t="s">
        <v>107</v>
      </c>
      <c r="F56" s="66" t="s">
        <v>172</v>
      </c>
      <c r="I56" s="206" t="s">
        <v>156</v>
      </c>
      <c r="J56" s="66" t="s">
        <v>184</v>
      </c>
      <c r="M56" s="66"/>
    </row>
    <row r="57" spans="1:22" ht="13.9" x14ac:dyDescent="0.3">
      <c r="B57" s="49"/>
      <c r="D57" s="41" t="s">
        <v>405</v>
      </c>
      <c r="E57" s="206"/>
      <c r="F57" s="66"/>
      <c r="I57" s="206"/>
      <c r="J57" s="66"/>
      <c r="M57" s="66"/>
    </row>
    <row r="58" spans="1:22" ht="13.9" x14ac:dyDescent="0.3">
      <c r="B58" s="49"/>
      <c r="L58" s="66"/>
    </row>
    <row r="59" spans="1:22" s="19" customFormat="1" ht="16.5" customHeight="1" x14ac:dyDescent="0.3">
      <c r="B59" s="48"/>
      <c r="C59" s="380" t="s">
        <v>215</v>
      </c>
      <c r="D59" s="380"/>
      <c r="E59" s="380"/>
      <c r="F59" s="380"/>
      <c r="G59" s="380"/>
      <c r="H59" s="380"/>
      <c r="I59" s="380"/>
      <c r="J59" s="380"/>
      <c r="K59" s="380"/>
      <c r="L59" s="380"/>
      <c r="M59" s="380"/>
      <c r="N59" s="380"/>
      <c r="O59" s="380"/>
      <c r="P59" s="380"/>
      <c r="Q59" s="380"/>
      <c r="R59" s="380"/>
      <c r="S59" s="380"/>
      <c r="T59" s="65"/>
      <c r="U59" s="79"/>
      <c r="V59" s="79"/>
    </row>
    <row r="60" spans="1:22" s="19" customFormat="1" ht="35.25" customHeight="1" x14ac:dyDescent="0.3">
      <c r="B60" s="48"/>
      <c r="C60" s="381"/>
      <c r="D60" s="381"/>
      <c r="E60" s="381"/>
      <c r="F60" s="381"/>
      <c r="G60" s="381"/>
      <c r="H60" s="381"/>
      <c r="I60" s="381"/>
      <c r="J60" s="381"/>
      <c r="K60" s="381"/>
      <c r="L60" s="381"/>
      <c r="M60" s="381"/>
      <c r="N60" s="381"/>
      <c r="O60" s="381"/>
      <c r="P60" s="381"/>
      <c r="Q60" s="381"/>
      <c r="R60" s="381"/>
      <c r="S60" s="381"/>
      <c r="T60" s="65"/>
      <c r="U60" s="79"/>
      <c r="V60" s="79"/>
    </row>
    <row r="61" spans="1:22" ht="13.9" x14ac:dyDescent="0.3">
      <c r="B61" s="49"/>
    </row>
    <row r="62" spans="1:22" ht="13.9" x14ac:dyDescent="0.3">
      <c r="B62" s="49"/>
    </row>
    <row r="63" spans="1:22" ht="13.9" x14ac:dyDescent="0.3">
      <c r="B63" s="49"/>
    </row>
    <row r="64" spans="1:22" ht="13.9" x14ac:dyDescent="0.3">
      <c r="B64" s="49"/>
    </row>
    <row r="65" spans="2:2" ht="13.9" x14ac:dyDescent="0.3">
      <c r="B65" s="49"/>
    </row>
    <row r="66" spans="2:2" ht="13.9" x14ac:dyDescent="0.3">
      <c r="B66" s="49"/>
    </row>
    <row r="67" spans="2:2" ht="13.9" x14ac:dyDescent="0.3">
      <c r="B67" s="49"/>
    </row>
    <row r="68" spans="2:2" ht="13.9" x14ac:dyDescent="0.3">
      <c r="B68" s="49"/>
    </row>
    <row r="69" spans="2:2" ht="13.9" x14ac:dyDescent="0.3">
      <c r="B69" s="49"/>
    </row>
    <row r="70" spans="2:2" ht="13.9" x14ac:dyDescent="0.3">
      <c r="B70" s="49"/>
    </row>
    <row r="71" spans="2:2" ht="13.9" x14ac:dyDescent="0.3">
      <c r="B71" s="49"/>
    </row>
    <row r="72" spans="2:2" x14ac:dyDescent="0.2">
      <c r="B72" s="49"/>
    </row>
    <row r="73" spans="2:2" x14ac:dyDescent="0.2">
      <c r="B73" s="49"/>
    </row>
    <row r="74" spans="2:2" x14ac:dyDescent="0.2">
      <c r="B74" s="49"/>
    </row>
    <row r="75" spans="2:2" x14ac:dyDescent="0.2">
      <c r="B75" s="49"/>
    </row>
    <row r="76" spans="2:2" x14ac:dyDescent="0.2">
      <c r="B76" s="49"/>
    </row>
    <row r="77" spans="2:2" x14ac:dyDescent="0.2">
      <c r="B77" s="49"/>
    </row>
    <row r="78" spans="2:2" x14ac:dyDescent="0.2">
      <c r="B78" s="49"/>
    </row>
    <row r="79" spans="2:2" x14ac:dyDescent="0.2">
      <c r="B79" s="49"/>
    </row>
    <row r="80" spans="2:2" x14ac:dyDescent="0.2">
      <c r="B80" s="49"/>
    </row>
    <row r="81" spans="2:2" x14ac:dyDescent="0.2">
      <c r="B81" s="49"/>
    </row>
    <row r="82" spans="2:2" x14ac:dyDescent="0.2">
      <c r="B82" s="49"/>
    </row>
    <row r="83" spans="2:2" x14ac:dyDescent="0.2">
      <c r="B83" s="49"/>
    </row>
    <row r="84" spans="2:2" x14ac:dyDescent="0.2">
      <c r="B84" s="49"/>
    </row>
    <row r="85" spans="2:2" x14ac:dyDescent="0.2">
      <c r="B85" s="49"/>
    </row>
    <row r="86" spans="2:2" x14ac:dyDescent="0.2">
      <c r="B86" s="49"/>
    </row>
    <row r="87" spans="2:2" x14ac:dyDescent="0.2">
      <c r="B87" s="49"/>
    </row>
  </sheetData>
  <mergeCells count="33">
    <mergeCell ref="B3:I3"/>
    <mergeCell ref="H25:I25"/>
    <mergeCell ref="C6:S6"/>
    <mergeCell ref="C8:Q8"/>
    <mergeCell ref="C9:Q9"/>
    <mergeCell ref="C14:Q14"/>
    <mergeCell ref="C15:Q15"/>
    <mergeCell ref="C17:Q17"/>
    <mergeCell ref="C18:Q18"/>
    <mergeCell ref="C22:S22"/>
    <mergeCell ref="K24:U24"/>
    <mergeCell ref="C11:Q11"/>
    <mergeCell ref="C12:Q12"/>
    <mergeCell ref="C24:C26"/>
    <mergeCell ref="B24:B26"/>
    <mergeCell ref="R8:S8"/>
    <mergeCell ref="C59:S59"/>
    <mergeCell ref="C60:S60"/>
    <mergeCell ref="J25:J26"/>
    <mergeCell ref="G24:J24"/>
    <mergeCell ref="D24:F24"/>
    <mergeCell ref="D25:D26"/>
    <mergeCell ref="E25:E26"/>
    <mergeCell ref="F25:F26"/>
    <mergeCell ref="G25:G26"/>
    <mergeCell ref="D52:G52"/>
    <mergeCell ref="R9:S9"/>
    <mergeCell ref="C10:O10"/>
    <mergeCell ref="K25:M25"/>
    <mergeCell ref="N25:R25"/>
    <mergeCell ref="S25:U25"/>
    <mergeCell ref="C20:N20"/>
    <mergeCell ref="P20:S20"/>
  </mergeCells>
  <conditionalFormatting sqref="P20:S20">
    <cfRule type="expression" dxfId="1" priority="1">
      <formula>$S$18&lt;80</formula>
    </cfRule>
    <cfRule type="expression" dxfId="0" priority="2">
      <formula>OR($S$18="","$R$18"&gt;=80)</formula>
    </cfRule>
  </conditionalFormatting>
  <dataValidations count="1">
    <dataValidation type="list" allowBlank="1" showInputMessage="1" showErrorMessage="1" sqref="P10:Q10">
      <formula1>LU_Passage_Status</formula1>
    </dataValidation>
  </dataValidations>
  <printOptions horizontalCentered="1"/>
  <pageMargins left="0.5" right="0.5" top="0.5" bottom="0.5" header="0.3" footer="0.3"/>
  <pageSetup scale="68" fitToHeight="0" orientation="landscape" r:id="rId1"/>
  <headerFooter>
    <oddFooter>&amp;C&amp;P</oddFooter>
  </headerFooter>
  <rowBreaks count="1" manualBreakCount="1">
    <brk id="2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lists'!$C$16:$C$19</xm:f>
          </x14:formula1>
          <xm:sqref>R9:S9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50"/>
  <sheetViews>
    <sheetView topLeftCell="A15" zoomScale="75" zoomScaleNormal="75" zoomScaleSheetLayoutView="40" zoomScalePageLayoutView="40" workbookViewId="0">
      <selection activeCell="Q42" sqref="Q42"/>
    </sheetView>
  </sheetViews>
  <sheetFormatPr defaultColWidth="9.140625" defaultRowHeight="12.75" x14ac:dyDescent="0.25"/>
  <cols>
    <col min="1" max="1" width="4.7109375" style="22" customWidth="1"/>
    <col min="2" max="2" width="11" style="21" customWidth="1"/>
    <col min="3" max="4" width="9.140625" style="22" customWidth="1"/>
    <col min="5" max="5" width="60.7109375" style="22" customWidth="1"/>
    <col min="6" max="6" width="10.7109375" style="21" customWidth="1"/>
    <col min="7" max="7" width="9.5703125" style="21" customWidth="1"/>
    <col min="8" max="8" width="18.5703125" style="37" hidden="1" customWidth="1"/>
    <col min="9" max="9" width="6.42578125" style="23" hidden="1" customWidth="1"/>
    <col min="10" max="10" width="6" style="22" customWidth="1"/>
    <col min="11" max="13" width="9.140625" style="22"/>
    <col min="14" max="15" width="11.140625" style="22" customWidth="1"/>
    <col min="16" max="16" width="5.5703125" style="22" customWidth="1"/>
    <col min="17" max="16384" width="9.140625" style="22"/>
  </cols>
  <sheetData>
    <row r="1" spans="2:22" ht="30" customHeight="1" x14ac:dyDescent="0.25">
      <c r="B1" s="293" t="str">
        <f>CONCATENATE('Cover Page'!B1:L1," ", 'Cover Page'!B2:L2," - RIPARIAN &amp; FLOODPLAIN")</f>
        <v>FISH PASSAGE CREDIT CALCULATOR Version 1.1 - RIPARIAN &amp; FLOODPLAIN</v>
      </c>
      <c r="C1" s="293"/>
      <c r="D1" s="293"/>
      <c r="E1" s="293"/>
      <c r="G1" s="62"/>
      <c r="H1" s="22"/>
      <c r="I1" s="42"/>
      <c r="J1" s="42"/>
      <c r="K1" s="42"/>
      <c r="L1" s="42"/>
      <c r="N1" s="42"/>
      <c r="O1" s="174"/>
      <c r="P1" s="42"/>
      <c r="Q1" s="42"/>
      <c r="R1" s="42"/>
      <c r="S1" s="24"/>
      <c r="T1" s="24"/>
      <c r="U1" s="43"/>
      <c r="V1" s="24"/>
    </row>
    <row r="2" spans="2:22" s="41" customFormat="1" x14ac:dyDescent="0.2">
      <c r="B2" s="29"/>
      <c r="C2" s="29"/>
      <c r="D2" s="29"/>
      <c r="E2" s="29"/>
      <c r="F2" s="44"/>
      <c r="G2" s="44"/>
      <c r="H2" s="33"/>
      <c r="I2" s="33"/>
      <c r="J2" s="33"/>
      <c r="K2" s="33"/>
      <c r="L2" s="33"/>
      <c r="M2" s="33"/>
      <c r="N2" s="33"/>
      <c r="O2" s="33"/>
      <c r="P2" s="33"/>
      <c r="Q2" s="33"/>
      <c r="R2" s="33"/>
      <c r="S2" s="28"/>
      <c r="T2" s="28"/>
      <c r="U2" s="29"/>
      <c r="V2" s="44"/>
    </row>
    <row r="3" spans="2:22" ht="24.95" customHeight="1" x14ac:dyDescent="0.25">
      <c r="B3" s="418" t="str">
        <f>IF(Project_Site = "","", Project_Site)</f>
        <v/>
      </c>
      <c r="C3" s="419"/>
      <c r="D3" s="419"/>
      <c r="E3" s="420"/>
      <c r="F3" s="63"/>
      <c r="H3" s="22"/>
      <c r="I3" s="22"/>
      <c r="K3" s="104"/>
      <c r="L3" s="64" t="s">
        <v>80</v>
      </c>
      <c r="M3" s="30"/>
    </row>
    <row r="4" spans="2:22" ht="14.25" customHeight="1" x14ac:dyDescent="0.25">
      <c r="B4" s="216"/>
      <c r="C4" s="29"/>
      <c r="E4" s="34"/>
      <c r="F4" s="34"/>
      <c r="G4" s="22"/>
      <c r="H4" s="22"/>
      <c r="I4" s="39"/>
      <c r="K4" s="104"/>
      <c r="L4" s="64" t="s">
        <v>159</v>
      </c>
      <c r="M4" s="31"/>
    </row>
    <row r="5" spans="2:22" ht="14.25" customHeight="1" x14ac:dyDescent="0.25">
      <c r="B5" s="39"/>
      <c r="C5" s="29"/>
      <c r="E5" s="34"/>
      <c r="F5" s="34"/>
      <c r="G5" s="22"/>
      <c r="H5" s="22"/>
      <c r="I5" s="39"/>
      <c r="K5" s="104"/>
      <c r="L5" s="64"/>
      <c r="M5" s="217"/>
    </row>
    <row r="6" spans="2:22" ht="24.95" customHeight="1" x14ac:dyDescent="0.25">
      <c r="B6" s="103" t="s">
        <v>231</v>
      </c>
      <c r="C6" s="430" t="s">
        <v>221</v>
      </c>
      <c r="D6" s="431"/>
      <c r="E6" s="431"/>
      <c r="F6" s="431"/>
      <c r="G6" s="432"/>
      <c r="H6" s="103" t="s">
        <v>9</v>
      </c>
      <c r="I6" s="103" t="s">
        <v>10</v>
      </c>
      <c r="J6" s="390" t="s">
        <v>294</v>
      </c>
      <c r="K6" s="391"/>
      <c r="L6" s="391"/>
      <c r="M6" s="391"/>
      <c r="N6" s="391"/>
      <c r="O6" s="392"/>
    </row>
    <row r="7" spans="2:22" ht="15.75" x14ac:dyDescent="0.25">
      <c r="B7" s="105"/>
      <c r="C7" s="113"/>
      <c r="D7" s="113"/>
      <c r="E7" s="104"/>
      <c r="F7" s="104"/>
      <c r="G7" s="104"/>
      <c r="H7" s="122"/>
      <c r="I7" s="105"/>
      <c r="J7" s="104"/>
      <c r="K7" s="104"/>
      <c r="L7" s="104"/>
      <c r="M7" s="104"/>
      <c r="N7" s="104"/>
      <c r="O7" s="104"/>
    </row>
    <row r="8" spans="2:22" ht="20.100000000000001" customHeight="1" x14ac:dyDescent="0.25">
      <c r="B8" s="427" t="s">
        <v>83</v>
      </c>
      <c r="C8" s="427"/>
      <c r="D8" s="427"/>
      <c r="E8" s="427"/>
      <c r="F8" s="427"/>
      <c r="G8" s="427"/>
      <c r="H8" s="122"/>
      <c r="I8" s="123"/>
      <c r="J8" s="104"/>
      <c r="K8" s="104"/>
      <c r="L8" s="104"/>
      <c r="M8" s="104"/>
      <c r="N8" s="104"/>
      <c r="O8" s="104"/>
    </row>
    <row r="9" spans="2:22" ht="16.5" thickBot="1" x14ac:dyDescent="0.3">
      <c r="B9" s="123"/>
      <c r="C9" s="104"/>
      <c r="D9" s="104"/>
      <c r="E9" s="104"/>
      <c r="F9" s="124"/>
      <c r="G9" s="125"/>
      <c r="H9" s="122"/>
      <c r="I9" s="123"/>
      <c r="J9" s="104"/>
      <c r="K9" s="104"/>
      <c r="L9" s="104"/>
      <c r="M9" s="104"/>
      <c r="N9" s="104"/>
      <c r="O9" s="104"/>
    </row>
    <row r="10" spans="2:22" ht="51.75" customHeight="1" x14ac:dyDescent="0.25">
      <c r="B10" s="108" t="s">
        <v>62</v>
      </c>
      <c r="C10" s="433" t="s">
        <v>289</v>
      </c>
      <c r="D10" s="434"/>
      <c r="E10" s="434"/>
      <c r="F10" s="435"/>
      <c r="G10" s="110" t="s">
        <v>19</v>
      </c>
      <c r="H10" s="122"/>
      <c r="I10" s="126" t="s">
        <v>7</v>
      </c>
      <c r="J10" s="104"/>
      <c r="K10" s="104"/>
      <c r="L10" s="104"/>
      <c r="M10" s="104"/>
      <c r="N10" s="104"/>
      <c r="O10" s="104"/>
    </row>
    <row r="11" spans="2:22" ht="38.25" customHeight="1" x14ac:dyDescent="0.25">
      <c r="B11" s="123"/>
      <c r="C11" s="428" t="s">
        <v>34</v>
      </c>
      <c r="D11" s="428"/>
      <c r="E11" s="428"/>
      <c r="F11" s="428"/>
      <c r="G11" s="127" t="str">
        <f>IF($O$14="","",K14/$O$14*100)</f>
        <v/>
      </c>
      <c r="H11" s="122"/>
      <c r="I11" s="123"/>
      <c r="J11" s="104"/>
      <c r="K11" s="414" t="s">
        <v>228</v>
      </c>
      <c r="L11" s="414"/>
      <c r="M11" s="414"/>
      <c r="N11" s="414"/>
      <c r="O11" s="414"/>
    </row>
    <row r="12" spans="2:22" ht="29.25" customHeight="1" x14ac:dyDescent="0.25">
      <c r="B12" s="123"/>
      <c r="C12" s="428" t="s">
        <v>85</v>
      </c>
      <c r="D12" s="428"/>
      <c r="E12" s="428"/>
      <c r="F12" s="428"/>
      <c r="G12" s="127" t="str">
        <f>IF($O$14="","",L14/$O$14*100)</f>
        <v/>
      </c>
      <c r="H12" s="122"/>
      <c r="I12" s="123"/>
      <c r="J12" s="104"/>
      <c r="K12" s="415" t="s">
        <v>164</v>
      </c>
      <c r="L12" s="416"/>
      <c r="M12" s="416"/>
      <c r="N12" s="417"/>
      <c r="O12" s="284"/>
    </row>
    <row r="13" spans="2:22" ht="51" customHeight="1" x14ac:dyDescent="0.25">
      <c r="B13" s="123"/>
      <c r="C13" s="428" t="s">
        <v>160</v>
      </c>
      <c r="D13" s="428"/>
      <c r="E13" s="428"/>
      <c r="F13" s="428"/>
      <c r="G13" s="127" t="str">
        <f>IF($O$14="","",M14/$O$14*100)</f>
        <v/>
      </c>
      <c r="H13" s="122"/>
      <c r="I13" s="123"/>
      <c r="J13" s="104"/>
      <c r="K13" s="279" t="s">
        <v>387</v>
      </c>
      <c r="L13" s="279" t="s">
        <v>388</v>
      </c>
      <c r="M13" s="279" t="s">
        <v>389</v>
      </c>
      <c r="N13" s="279" t="s">
        <v>390</v>
      </c>
      <c r="O13" s="279" t="s">
        <v>163</v>
      </c>
    </row>
    <row r="14" spans="2:22" ht="15.75" x14ac:dyDescent="0.25">
      <c r="B14" s="123"/>
      <c r="C14" s="428" t="s">
        <v>391</v>
      </c>
      <c r="D14" s="428"/>
      <c r="E14" s="428"/>
      <c r="F14" s="428"/>
      <c r="G14" s="127" t="str">
        <f>IF($O$14="","",N14/$O$14*100)</f>
        <v/>
      </c>
      <c r="H14" s="122"/>
      <c r="I14" s="123"/>
      <c r="J14" s="104"/>
      <c r="K14" s="285"/>
      <c r="L14" s="285"/>
      <c r="M14" s="285"/>
      <c r="N14" s="285"/>
      <c r="O14" s="283" t="str">
        <f>IF(K14="","",SUM(K14:N14))</f>
        <v/>
      </c>
    </row>
    <row r="15" spans="2:22" ht="15.75" x14ac:dyDescent="0.25">
      <c r="B15" s="123"/>
      <c r="C15" s="429" t="s">
        <v>161</v>
      </c>
      <c r="D15" s="429"/>
      <c r="E15" s="429"/>
      <c r="F15" s="429"/>
      <c r="G15" s="129" t="str">
        <f>IF(pClass1="","",SUM(pClass1,pClass2*0.92,pClass3*AVERAGE(0.88+0.43),pClass4*0.04))</f>
        <v/>
      </c>
      <c r="H15" s="122"/>
      <c r="I15" s="123"/>
      <c r="J15" s="104"/>
      <c r="K15" s="104"/>
      <c r="L15" s="104"/>
      <c r="M15" s="104"/>
      <c r="N15" s="104"/>
      <c r="O15" s="104"/>
    </row>
    <row r="16" spans="2:22" ht="15.75" x14ac:dyDescent="0.25">
      <c r="B16" s="123"/>
      <c r="C16" s="106"/>
      <c r="D16" s="106"/>
      <c r="E16" s="104"/>
      <c r="F16" s="130" t="s">
        <v>148</v>
      </c>
      <c r="G16" s="131" t="str">
        <f>IF(FuncRip="","",IF(FuncRip&lt;34,0.3,IF(FuncRip&lt;81,0.6,1)))</f>
        <v/>
      </c>
      <c r="H16" s="132"/>
      <c r="I16" s="123"/>
      <c r="J16" s="104"/>
      <c r="K16" s="104"/>
      <c r="L16" s="104"/>
      <c r="M16" s="104"/>
      <c r="N16" s="104"/>
      <c r="O16" s="104"/>
    </row>
    <row r="17" spans="2:21" ht="15.75" x14ac:dyDescent="0.25">
      <c r="B17" s="123"/>
      <c r="C17" s="133"/>
      <c r="D17" s="133"/>
      <c r="E17" s="133"/>
      <c r="F17" s="134"/>
      <c r="G17" s="135"/>
      <c r="H17" s="136"/>
      <c r="I17" s="105"/>
      <c r="J17" s="106"/>
      <c r="K17" s="104"/>
      <c r="L17" s="104"/>
      <c r="M17" s="104"/>
      <c r="N17" s="104"/>
      <c r="O17" s="104"/>
    </row>
    <row r="18" spans="2:21" s="19" customFormat="1" ht="16.5" customHeight="1" x14ac:dyDescent="0.25">
      <c r="B18" s="109"/>
      <c r="C18" s="409" t="s">
        <v>209</v>
      </c>
      <c r="D18" s="409"/>
      <c r="E18" s="409"/>
      <c r="F18" s="409"/>
      <c r="G18" s="409"/>
      <c r="H18" s="109"/>
      <c r="I18" s="109"/>
      <c r="J18" s="104"/>
      <c r="K18" s="104"/>
      <c r="L18" s="104"/>
      <c r="M18" s="104"/>
      <c r="N18" s="104"/>
      <c r="O18" s="104"/>
      <c r="P18" s="50"/>
      <c r="Q18" s="50"/>
      <c r="R18" s="65"/>
      <c r="S18" s="58"/>
      <c r="T18" s="58"/>
      <c r="U18" s="58"/>
    </row>
    <row r="19" spans="2:21" s="19" customFormat="1" ht="20.100000000000001" customHeight="1" x14ac:dyDescent="0.25">
      <c r="B19" s="109"/>
      <c r="C19" s="335"/>
      <c r="D19" s="335"/>
      <c r="E19" s="335"/>
      <c r="F19" s="335"/>
      <c r="G19" s="335"/>
      <c r="H19" s="109"/>
      <c r="I19" s="109"/>
      <c r="J19" s="104"/>
      <c r="K19" s="104"/>
      <c r="L19" s="104"/>
      <c r="M19" s="104"/>
      <c r="N19" s="104"/>
      <c r="O19" s="104"/>
      <c r="P19" s="50"/>
      <c r="Q19" s="50"/>
      <c r="R19" s="65"/>
      <c r="S19" s="58"/>
      <c r="T19" s="58"/>
      <c r="U19" s="58"/>
    </row>
    <row r="20" spans="2:21" ht="15.75" x14ac:dyDescent="0.25">
      <c r="B20" s="123"/>
      <c r="C20" s="133"/>
      <c r="D20" s="133"/>
      <c r="E20" s="133"/>
      <c r="F20" s="134"/>
      <c r="G20" s="135"/>
      <c r="H20" s="137"/>
      <c r="I20" s="123"/>
      <c r="J20" s="104"/>
      <c r="K20" s="104"/>
      <c r="L20" s="104"/>
      <c r="M20" s="104"/>
      <c r="N20" s="104"/>
      <c r="O20" s="104"/>
    </row>
    <row r="21" spans="2:21" ht="20.100000000000001" customHeight="1" x14ac:dyDescent="0.25">
      <c r="B21" s="427" t="s">
        <v>82</v>
      </c>
      <c r="C21" s="427"/>
      <c r="D21" s="427"/>
      <c r="E21" s="427"/>
      <c r="F21" s="427"/>
      <c r="G21" s="427"/>
      <c r="H21" s="137"/>
      <c r="I21" s="123"/>
      <c r="J21" s="104"/>
      <c r="K21" s="104"/>
      <c r="L21" s="104"/>
      <c r="M21" s="104"/>
      <c r="N21" s="104"/>
      <c r="O21" s="104"/>
    </row>
    <row r="22" spans="2:21" ht="20.100000000000001" customHeight="1" thickBot="1" x14ac:dyDescent="0.3">
      <c r="B22" s="123"/>
      <c r="C22" s="104"/>
      <c r="D22" s="104"/>
      <c r="E22" s="104"/>
      <c r="F22" s="124"/>
      <c r="G22" s="124"/>
      <c r="H22" s="137"/>
      <c r="I22" s="123"/>
      <c r="J22" s="104"/>
      <c r="K22" s="139" t="s">
        <v>229</v>
      </c>
      <c r="L22" s="104"/>
      <c r="M22" s="104"/>
      <c r="N22" s="104"/>
      <c r="O22" s="104"/>
    </row>
    <row r="23" spans="2:21" ht="65.099999999999994" customHeight="1" x14ac:dyDescent="0.3">
      <c r="B23" s="140" t="s">
        <v>63</v>
      </c>
      <c r="C23" s="421" t="s">
        <v>399</v>
      </c>
      <c r="D23" s="422"/>
      <c r="E23" s="422"/>
      <c r="F23" s="423"/>
      <c r="G23" s="141" t="s">
        <v>19</v>
      </c>
      <c r="H23" s="122"/>
      <c r="I23" s="126" t="s">
        <v>8</v>
      </c>
      <c r="J23" s="104"/>
      <c r="K23" s="279" t="s">
        <v>103</v>
      </c>
      <c r="L23" s="279" t="s">
        <v>119</v>
      </c>
      <c r="M23" s="279" t="s">
        <v>79</v>
      </c>
      <c r="N23" s="279" t="s">
        <v>165</v>
      </c>
      <c r="O23" s="279" t="s">
        <v>400</v>
      </c>
    </row>
    <row r="24" spans="2:21" ht="15.75" x14ac:dyDescent="0.25">
      <c r="B24" s="105"/>
      <c r="C24" s="424" t="s">
        <v>86</v>
      </c>
      <c r="D24" s="425"/>
      <c r="E24" s="425"/>
      <c r="F24" s="426"/>
      <c r="G24" s="142"/>
      <c r="H24" s="122"/>
      <c r="I24" s="105"/>
      <c r="J24" s="104"/>
      <c r="K24" s="279">
        <v>1</v>
      </c>
      <c r="L24" s="294" t="str">
        <f>IF('Instream-HabRate'!G27&lt;&gt;"",'Instream-HabRate'!G27,"")</f>
        <v/>
      </c>
      <c r="M24" s="280" t="str">
        <f>IF('Instream-HabRate'!C27&lt;&gt;"",'Instream-HabRate'!C27,"")</f>
        <v/>
      </c>
      <c r="N24" s="297"/>
      <c r="O24" s="280" t="str">
        <f>IF(N24 = "","",IF(N24&gt;2.2,M24,""))</f>
        <v/>
      </c>
    </row>
    <row r="25" spans="2:21" ht="21" customHeight="1" x14ac:dyDescent="0.3">
      <c r="B25" s="123"/>
      <c r="C25" s="143"/>
      <c r="D25" s="143"/>
      <c r="E25" s="104"/>
      <c r="F25" s="144" t="s">
        <v>147</v>
      </c>
      <c r="G25" s="145" t="str">
        <f>IF(Entrench&lt;"a","",VLOOKUP(Entrench,LU_Entrench_Score,2,FALSE))</f>
        <v/>
      </c>
      <c r="H25" s="122"/>
      <c r="I25" s="105"/>
      <c r="J25" s="104"/>
      <c r="K25" s="279">
        <v>2</v>
      </c>
      <c r="L25" s="294" t="str">
        <f>IF('Instream-HabRate'!G28&lt;&gt;"",'Instream-HabRate'!G28,"")</f>
        <v/>
      </c>
      <c r="M25" s="280" t="str">
        <f>IF('Instream-HabRate'!C28&lt;&gt;"",'Instream-HabRate'!C28,"")</f>
        <v/>
      </c>
      <c r="N25" s="297"/>
      <c r="O25" s="280" t="str">
        <f t="shared" ref="O25:O48" si="0">IF(N25 = "","",IF(N25&gt;2.2,M25,""))</f>
        <v/>
      </c>
    </row>
    <row r="26" spans="2:21" ht="16.149999999999999" thickBot="1" x14ac:dyDescent="0.35">
      <c r="B26" s="123"/>
      <c r="C26" s="104"/>
      <c r="D26" s="104"/>
      <c r="E26" s="104"/>
      <c r="F26" s="124"/>
      <c r="G26" s="105"/>
      <c r="H26" s="137"/>
      <c r="I26" s="123"/>
      <c r="J26" s="104"/>
      <c r="K26" s="279">
        <v>3</v>
      </c>
      <c r="L26" s="294" t="str">
        <f>IF('Instream-HabRate'!G29&lt;&gt;"",'Instream-HabRate'!G29,"")</f>
        <v/>
      </c>
      <c r="M26" s="280" t="str">
        <f>IF('Instream-HabRate'!C29&lt;&gt;"",'Instream-HabRate'!C29,"")</f>
        <v/>
      </c>
      <c r="N26" s="297"/>
      <c r="O26" s="280" t="str">
        <f t="shared" si="0"/>
        <v/>
      </c>
    </row>
    <row r="27" spans="2:21" ht="27" customHeight="1" x14ac:dyDescent="0.3">
      <c r="B27" s="140" t="s">
        <v>73</v>
      </c>
      <c r="C27" s="421" t="s">
        <v>72</v>
      </c>
      <c r="D27" s="422"/>
      <c r="E27" s="422"/>
      <c r="F27" s="423"/>
      <c r="G27" s="146" t="s">
        <v>19</v>
      </c>
      <c r="H27" s="122"/>
      <c r="I27" s="126"/>
      <c r="J27" s="104"/>
      <c r="K27" s="279">
        <v>4</v>
      </c>
      <c r="L27" s="294" t="str">
        <f>IF('Instream-HabRate'!G30&lt;&gt;"",'Instream-HabRate'!G30,"")</f>
        <v/>
      </c>
      <c r="M27" s="280" t="str">
        <f>IF('Instream-HabRate'!C30&lt;&gt;"",'Instream-HabRate'!C30,"")</f>
        <v/>
      </c>
      <c r="N27" s="297"/>
      <c r="O27" s="280" t="str">
        <f t="shared" si="0"/>
        <v/>
      </c>
    </row>
    <row r="28" spans="2:21" ht="15.6" x14ac:dyDescent="0.3">
      <c r="B28" s="105"/>
      <c r="C28" s="424" t="s">
        <v>74</v>
      </c>
      <c r="D28" s="425"/>
      <c r="E28" s="425"/>
      <c r="F28" s="426"/>
      <c r="G28" s="147"/>
      <c r="H28" s="122"/>
      <c r="I28" s="105"/>
      <c r="J28" s="104"/>
      <c r="K28" s="279">
        <v>5</v>
      </c>
      <c r="L28" s="294" t="str">
        <f>IF('Instream-HabRate'!G31&lt;&gt;"",'Instream-HabRate'!G31,"")</f>
        <v/>
      </c>
      <c r="M28" s="280" t="str">
        <f>IF('Instream-HabRate'!C31&lt;&gt;"",'Instream-HabRate'!C31,"")</f>
        <v/>
      </c>
      <c r="N28" s="297"/>
      <c r="O28" s="280" t="str">
        <f t="shared" si="0"/>
        <v/>
      </c>
    </row>
    <row r="29" spans="2:21" ht="24" customHeight="1" x14ac:dyDescent="0.3">
      <c r="B29" s="123"/>
      <c r="C29" s="143"/>
      <c r="D29" s="143"/>
      <c r="E29" s="104"/>
      <c r="F29" s="148" t="s">
        <v>146</v>
      </c>
      <c r="G29" s="145" t="str">
        <f>IF(Floodpln&lt;"a","",VLOOKUP(Floodpln,LU_Floodplain_Score,2,FALSE))</f>
        <v/>
      </c>
      <c r="H29" s="122"/>
      <c r="I29" s="105"/>
      <c r="J29" s="104"/>
      <c r="K29" s="279">
        <v>6</v>
      </c>
      <c r="L29" s="294" t="str">
        <f>IF('Instream-HabRate'!G32&lt;&gt;"",'Instream-HabRate'!G32,"")</f>
        <v/>
      </c>
      <c r="M29" s="280" t="str">
        <f>IF('Instream-HabRate'!C32&lt;&gt;"",'Instream-HabRate'!C32,"")</f>
        <v/>
      </c>
      <c r="N29" s="297"/>
      <c r="O29" s="280" t="str">
        <f t="shared" si="0"/>
        <v/>
      </c>
    </row>
    <row r="30" spans="2:21" ht="15" customHeight="1" x14ac:dyDescent="0.3">
      <c r="B30" s="124"/>
      <c r="C30" s="104"/>
      <c r="D30" s="104"/>
      <c r="E30" s="104"/>
      <c r="F30" s="124"/>
      <c r="G30" s="124"/>
      <c r="H30" s="149"/>
      <c r="I30" s="123"/>
      <c r="J30" s="104"/>
      <c r="K30" s="279">
        <v>7</v>
      </c>
      <c r="L30" s="294" t="str">
        <f>IF('Instream-HabRate'!G33&lt;&gt;"",'Instream-HabRate'!G33,"")</f>
        <v/>
      </c>
      <c r="M30" s="280" t="str">
        <f>IF('Instream-HabRate'!C33&lt;&gt;"",'Instream-HabRate'!C33,"")</f>
        <v/>
      </c>
      <c r="N30" s="297"/>
      <c r="O30" s="280" t="str">
        <f t="shared" si="0"/>
        <v/>
      </c>
    </row>
    <row r="31" spans="2:21" s="19" customFormat="1" ht="16.5" customHeight="1" x14ac:dyDescent="0.3">
      <c r="B31" s="109"/>
      <c r="C31" s="409" t="s">
        <v>210</v>
      </c>
      <c r="D31" s="409"/>
      <c r="E31" s="409"/>
      <c r="F31" s="409"/>
      <c r="G31" s="409"/>
      <c r="H31" s="109"/>
      <c r="I31" s="109"/>
      <c r="J31" s="104"/>
      <c r="K31" s="279">
        <v>8</v>
      </c>
      <c r="L31" s="294" t="str">
        <f>IF('Instream-HabRate'!G34&lt;&gt;"",'Instream-HabRate'!G34,"")</f>
        <v/>
      </c>
      <c r="M31" s="280" t="str">
        <f>IF('Instream-HabRate'!C34&lt;&gt;"",'Instream-HabRate'!C34,"")</f>
        <v/>
      </c>
      <c r="N31" s="297"/>
      <c r="O31" s="280" t="str">
        <f t="shared" si="0"/>
        <v/>
      </c>
      <c r="P31" s="50"/>
      <c r="Q31" s="50"/>
      <c r="R31" s="65"/>
      <c r="S31" s="58"/>
      <c r="T31" s="58"/>
      <c r="U31" s="58"/>
    </row>
    <row r="32" spans="2:21" s="19" customFormat="1" ht="20.100000000000001" customHeight="1" x14ac:dyDescent="0.3">
      <c r="B32" s="109"/>
      <c r="C32" s="335"/>
      <c r="D32" s="335"/>
      <c r="E32" s="335"/>
      <c r="F32" s="335"/>
      <c r="G32" s="335"/>
      <c r="H32" s="109"/>
      <c r="I32" s="109"/>
      <c r="J32" s="104"/>
      <c r="K32" s="279">
        <v>9</v>
      </c>
      <c r="L32" s="294" t="str">
        <f>IF('Instream-HabRate'!G35&lt;&gt;"",'Instream-HabRate'!G35,"")</f>
        <v/>
      </c>
      <c r="M32" s="280" t="str">
        <f>IF('Instream-HabRate'!C35&lt;&gt;"",'Instream-HabRate'!C35,"")</f>
        <v/>
      </c>
      <c r="N32" s="297"/>
      <c r="O32" s="280" t="str">
        <f t="shared" si="0"/>
        <v/>
      </c>
      <c r="P32" s="50"/>
      <c r="Q32" s="50"/>
      <c r="R32" s="65"/>
      <c r="S32" s="58"/>
      <c r="T32" s="58"/>
      <c r="U32" s="58"/>
    </row>
    <row r="33" spans="3:15" ht="15.6" x14ac:dyDescent="0.3">
      <c r="C33" s="40"/>
      <c r="G33" s="23"/>
      <c r="K33" s="279">
        <v>10</v>
      </c>
      <c r="L33" s="294" t="str">
        <f>IF('Instream-HabRate'!G36&lt;&gt;"",'Instream-HabRate'!G36,"")</f>
        <v/>
      </c>
      <c r="M33" s="280" t="str">
        <f>IF('Instream-HabRate'!C36&lt;&gt;"",'Instream-HabRate'!C36,"")</f>
        <v/>
      </c>
      <c r="N33" s="297"/>
      <c r="O33" s="280" t="str">
        <f t="shared" si="0"/>
        <v/>
      </c>
    </row>
    <row r="34" spans="3:15" ht="15.6" x14ac:dyDescent="0.3">
      <c r="G34" s="23"/>
      <c r="K34" s="279">
        <v>11</v>
      </c>
      <c r="L34" s="294" t="str">
        <f>IF('Instream-HabRate'!G37&lt;&gt;"",'Instream-HabRate'!G37,"")</f>
        <v/>
      </c>
      <c r="M34" s="280" t="str">
        <f>IF('Instream-HabRate'!C37&lt;&gt;"",'Instream-HabRate'!C37,"")</f>
        <v/>
      </c>
      <c r="N34" s="297"/>
      <c r="O34" s="280" t="str">
        <f t="shared" si="0"/>
        <v/>
      </c>
    </row>
    <row r="35" spans="3:15" ht="15.6" x14ac:dyDescent="0.3">
      <c r="G35" s="23"/>
      <c r="K35" s="279">
        <v>12</v>
      </c>
      <c r="L35" s="294" t="str">
        <f>IF('Instream-HabRate'!G38&lt;&gt;"",'Instream-HabRate'!G38,"")</f>
        <v/>
      </c>
      <c r="M35" s="280" t="str">
        <f>IF('Instream-HabRate'!C38&lt;&gt;"",'Instream-HabRate'!C38,"")</f>
        <v/>
      </c>
      <c r="N35" s="297"/>
      <c r="O35" s="280" t="str">
        <f t="shared" si="0"/>
        <v/>
      </c>
    </row>
    <row r="36" spans="3:15" ht="15.6" x14ac:dyDescent="0.3">
      <c r="G36" s="23"/>
      <c r="K36" s="279">
        <v>13</v>
      </c>
      <c r="L36" s="294" t="str">
        <f>IF('Instream-HabRate'!G39&lt;&gt;"",'Instream-HabRate'!G39,"")</f>
        <v/>
      </c>
      <c r="M36" s="280" t="str">
        <f>IF('Instream-HabRate'!C39&lt;&gt;"",'Instream-HabRate'!C39,"")</f>
        <v/>
      </c>
      <c r="N36" s="297"/>
      <c r="O36" s="280" t="str">
        <f t="shared" si="0"/>
        <v/>
      </c>
    </row>
    <row r="37" spans="3:15" ht="15.6" x14ac:dyDescent="0.3">
      <c r="G37" s="23"/>
      <c r="K37" s="279">
        <v>14</v>
      </c>
      <c r="L37" s="294" t="str">
        <f>IF('Instream-HabRate'!G40&lt;&gt;"",'Instream-HabRate'!G40,"")</f>
        <v/>
      </c>
      <c r="M37" s="280" t="str">
        <f>IF('Instream-HabRate'!C40&lt;&gt;"",'Instream-HabRate'!C40,"")</f>
        <v/>
      </c>
      <c r="N37" s="297"/>
      <c r="O37" s="280" t="str">
        <f t="shared" si="0"/>
        <v/>
      </c>
    </row>
    <row r="38" spans="3:15" ht="15.6" x14ac:dyDescent="0.3">
      <c r="G38" s="23"/>
      <c r="K38" s="279">
        <v>15</v>
      </c>
      <c r="L38" s="294" t="str">
        <f>IF('Instream-HabRate'!G41&lt;&gt;"",'Instream-HabRate'!G41,"")</f>
        <v/>
      </c>
      <c r="M38" s="280" t="str">
        <f>IF('Instream-HabRate'!C41&lt;&gt;"",'Instream-HabRate'!C41,"")</f>
        <v/>
      </c>
      <c r="N38" s="297"/>
      <c r="O38" s="280" t="str">
        <f t="shared" si="0"/>
        <v/>
      </c>
    </row>
    <row r="39" spans="3:15" ht="15.6" x14ac:dyDescent="0.3">
      <c r="G39" s="23"/>
      <c r="K39" s="279">
        <v>16</v>
      </c>
      <c r="L39" s="294" t="str">
        <f>IF('Instream-HabRate'!G42&lt;&gt;"",'Instream-HabRate'!G42,"")</f>
        <v/>
      </c>
      <c r="M39" s="280" t="str">
        <f>IF('Instream-HabRate'!C42&lt;&gt;"",'Instream-HabRate'!C42,"")</f>
        <v/>
      </c>
      <c r="N39" s="297"/>
      <c r="O39" s="280" t="str">
        <f t="shared" si="0"/>
        <v/>
      </c>
    </row>
    <row r="40" spans="3:15" ht="15.6" x14ac:dyDescent="0.3">
      <c r="G40" s="23"/>
      <c r="K40" s="279">
        <v>17</v>
      </c>
      <c r="L40" s="294" t="str">
        <f>IF('Instream-HabRate'!G43&lt;&gt;"",'Instream-HabRate'!G43,"")</f>
        <v/>
      </c>
      <c r="M40" s="280" t="str">
        <f>IF('Instream-HabRate'!C43&lt;&gt;"",'Instream-HabRate'!C43,"")</f>
        <v/>
      </c>
      <c r="N40" s="297"/>
      <c r="O40" s="280" t="str">
        <f t="shared" si="0"/>
        <v/>
      </c>
    </row>
    <row r="41" spans="3:15" ht="15.6" x14ac:dyDescent="0.3">
      <c r="G41" s="23"/>
      <c r="K41" s="279">
        <v>18</v>
      </c>
      <c r="L41" s="294" t="str">
        <f>IF('Instream-HabRate'!G44&lt;&gt;"",'Instream-HabRate'!G44,"")</f>
        <v/>
      </c>
      <c r="M41" s="280" t="str">
        <f>IF('Instream-HabRate'!C44&lt;&gt;"",'Instream-HabRate'!C44,"")</f>
        <v/>
      </c>
      <c r="N41" s="297"/>
      <c r="O41" s="280" t="str">
        <f t="shared" si="0"/>
        <v/>
      </c>
    </row>
    <row r="42" spans="3:15" ht="15.6" x14ac:dyDescent="0.3">
      <c r="G42" s="23"/>
      <c r="K42" s="279">
        <v>19</v>
      </c>
      <c r="L42" s="294" t="str">
        <f>IF('Instream-HabRate'!G45&lt;&gt;"",'Instream-HabRate'!G45,"")</f>
        <v/>
      </c>
      <c r="M42" s="280" t="str">
        <f>IF('Instream-HabRate'!C45&lt;&gt;"",'Instream-HabRate'!C45,"")</f>
        <v/>
      </c>
      <c r="N42" s="297"/>
      <c r="O42" s="280" t="str">
        <f t="shared" si="0"/>
        <v/>
      </c>
    </row>
    <row r="43" spans="3:15" ht="15.6" x14ac:dyDescent="0.3">
      <c r="G43" s="23"/>
      <c r="K43" s="279">
        <v>20</v>
      </c>
      <c r="L43" s="294" t="str">
        <f>IF('Instream-HabRate'!G46&lt;&gt;"",'Instream-HabRate'!G46,"")</f>
        <v/>
      </c>
      <c r="M43" s="280" t="str">
        <f>IF('Instream-HabRate'!C46&lt;&gt;"",'Instream-HabRate'!C46,"")</f>
        <v/>
      </c>
      <c r="N43" s="297"/>
      <c r="O43" s="280" t="str">
        <f t="shared" si="0"/>
        <v/>
      </c>
    </row>
    <row r="44" spans="3:15" ht="15.6" x14ac:dyDescent="0.3">
      <c r="G44" s="23"/>
      <c r="K44" s="279">
        <v>21</v>
      </c>
      <c r="L44" s="294" t="str">
        <f>IF('Instream-HabRate'!G47&lt;&gt;"",'Instream-HabRate'!G47,"")</f>
        <v/>
      </c>
      <c r="M44" s="280" t="str">
        <f>IF('Instream-HabRate'!C47&lt;&gt;"",'Instream-HabRate'!C47,"")</f>
        <v/>
      </c>
      <c r="N44" s="297"/>
      <c r="O44" s="280" t="str">
        <f t="shared" si="0"/>
        <v/>
      </c>
    </row>
    <row r="45" spans="3:15" ht="15.6" x14ac:dyDescent="0.3">
      <c r="G45" s="23"/>
      <c r="K45" s="279">
        <v>22</v>
      </c>
      <c r="L45" s="294" t="str">
        <f>IF('Instream-HabRate'!G48&lt;&gt;"",'Instream-HabRate'!G48,"")</f>
        <v/>
      </c>
      <c r="M45" s="280" t="str">
        <f>IF('Instream-HabRate'!C48&lt;&gt;"",'Instream-HabRate'!C48,"")</f>
        <v/>
      </c>
      <c r="N45" s="297"/>
      <c r="O45" s="280" t="str">
        <f t="shared" si="0"/>
        <v/>
      </c>
    </row>
    <row r="46" spans="3:15" ht="15.6" x14ac:dyDescent="0.3">
      <c r="G46" s="23"/>
      <c r="K46" s="279">
        <v>23</v>
      </c>
      <c r="L46" s="294" t="str">
        <f>IF('Instream-HabRate'!G49&lt;&gt;"",'Instream-HabRate'!G49,"")</f>
        <v/>
      </c>
      <c r="M46" s="280" t="str">
        <f>IF('Instream-HabRate'!C49&lt;&gt;"",'Instream-HabRate'!C49,"")</f>
        <v/>
      </c>
      <c r="N46" s="297"/>
      <c r="O46" s="280" t="str">
        <f t="shared" si="0"/>
        <v/>
      </c>
    </row>
    <row r="47" spans="3:15" ht="15.6" x14ac:dyDescent="0.3">
      <c r="G47" s="23"/>
      <c r="K47" s="279">
        <v>24</v>
      </c>
      <c r="L47" s="294" t="str">
        <f>IF('Instream-HabRate'!G50&lt;&gt;"",'Instream-HabRate'!G50,"")</f>
        <v/>
      </c>
      <c r="M47" s="280" t="str">
        <f>IF('Instream-HabRate'!C50&lt;&gt;"",'Instream-HabRate'!C50,"")</f>
        <v/>
      </c>
      <c r="N47" s="297"/>
      <c r="O47" s="280" t="str">
        <f t="shared" si="0"/>
        <v/>
      </c>
    </row>
    <row r="48" spans="3:15" ht="15.6" x14ac:dyDescent="0.3">
      <c r="K48" s="279">
        <v>25</v>
      </c>
      <c r="L48" s="294" t="str">
        <f>IF('Instream-HabRate'!G51&lt;&gt;"",'Instream-HabRate'!G51,"")</f>
        <v/>
      </c>
      <c r="M48" s="280" t="str">
        <f>IF('Instream-HabRate'!C51&lt;&gt;"",'Instream-HabRate'!C51,"")</f>
        <v/>
      </c>
      <c r="N48" s="281"/>
      <c r="O48" s="280" t="str">
        <f t="shared" si="0"/>
        <v/>
      </c>
    </row>
    <row r="49" spans="11:15" ht="15.6" x14ac:dyDescent="0.3">
      <c r="K49" s="410" t="s">
        <v>223</v>
      </c>
      <c r="L49" s="410"/>
      <c r="M49" s="280">
        <f>SUM(M24:M48)</f>
        <v>0</v>
      </c>
      <c r="N49" s="282"/>
      <c r="O49" s="280">
        <f>SUM(O24:O48)</f>
        <v>0</v>
      </c>
    </row>
    <row r="50" spans="11:15" ht="15.6" x14ac:dyDescent="0.3">
      <c r="K50" s="411" t="s">
        <v>401</v>
      </c>
      <c r="L50" s="412"/>
      <c r="M50" s="412"/>
      <c r="N50" s="413"/>
      <c r="O50" s="280" t="str">
        <f>IF(M24="","",(O49/M49)*100)</f>
        <v/>
      </c>
    </row>
  </sheetData>
  <customSheetViews>
    <customSheetView guid="{2CD00E0D-7A42-4D1F-BB0C-36C7B8A44027}" printArea="1">
      <selection activeCell="C7" sqref="C7:F7"/>
      <rowBreaks count="6" manualBreakCount="6">
        <brk id="19" max="7" man="1"/>
        <brk id="42" max="8" man="1"/>
        <brk id="70" max="8" man="1"/>
        <brk id="100" max="8" man="1"/>
        <brk id="126" max="8" man="1"/>
        <brk id="149" max="8" man="1"/>
      </rowBreaks>
      <pageMargins left="0.5" right="0.5" top="0.5" bottom="0.5" header="0.3" footer="0.3"/>
      <pageSetup scale="94" fitToHeight="0" orientation="landscape" cellComments="asDisplayed" r:id="rId1"/>
      <headerFooter>
        <oddFooter>Page &amp;P</oddFooter>
      </headerFooter>
    </customSheetView>
  </customSheetViews>
  <mergeCells count="23">
    <mergeCell ref="B3:E3"/>
    <mergeCell ref="C27:F27"/>
    <mergeCell ref="C28:F28"/>
    <mergeCell ref="C24:F24"/>
    <mergeCell ref="C18:G18"/>
    <mergeCell ref="C19:G19"/>
    <mergeCell ref="B8:G8"/>
    <mergeCell ref="B21:G21"/>
    <mergeCell ref="C11:F11"/>
    <mergeCell ref="C12:F12"/>
    <mergeCell ref="C13:F13"/>
    <mergeCell ref="C15:F15"/>
    <mergeCell ref="C14:F14"/>
    <mergeCell ref="C6:G6"/>
    <mergeCell ref="C23:F23"/>
    <mergeCell ref="C10:F10"/>
    <mergeCell ref="C31:G31"/>
    <mergeCell ref="C32:G32"/>
    <mergeCell ref="K49:L49"/>
    <mergeCell ref="K50:N50"/>
    <mergeCell ref="J6:O6"/>
    <mergeCell ref="K11:O11"/>
    <mergeCell ref="K12:N12"/>
  </mergeCells>
  <printOptions horizontalCentered="1"/>
  <pageMargins left="0.5" right="0.5" top="0.5" bottom="0.5" header="0.3" footer="0.3"/>
  <pageSetup scale="74" fitToHeight="0" orientation="landscape" cellComments="asDisplayed" r:id="rId2"/>
  <headerFooter>
    <oddFooter>&amp;C&amp;P</oddFooter>
  </headerFooter>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 lists'!$F$25:$F$30</xm:f>
          </x14:formula1>
          <xm:sqref>G28</xm:sqref>
        </x14:dataValidation>
        <x14:dataValidation type="list" allowBlank="1" showInputMessage="1" showErrorMessage="1">
          <x14:formula1>
            <xm:f>'Dropdown lists'!$C$25:$C$29</xm:f>
          </x14:formula1>
          <xm:sqref>G24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6"/>
  <sheetViews>
    <sheetView topLeftCell="A28" zoomScale="75" zoomScaleNormal="75" zoomScaleSheetLayoutView="85" zoomScalePageLayoutView="40" workbookViewId="0">
      <selection activeCell="K24" sqref="K24:L24"/>
    </sheetView>
  </sheetViews>
  <sheetFormatPr defaultColWidth="9.140625" defaultRowHeight="15" x14ac:dyDescent="0.25"/>
  <cols>
    <col min="1" max="1" width="4.7109375" style="36" customWidth="1"/>
    <col min="2" max="2" width="12.140625" style="36" customWidth="1"/>
    <col min="3" max="3" width="9.140625" style="36" customWidth="1"/>
    <col min="4" max="4" width="9.140625" style="36"/>
    <col min="5" max="5" width="60.7109375" style="36" customWidth="1"/>
    <col min="6" max="6" width="16.42578125" style="36" customWidth="1"/>
    <col min="7" max="7" width="16.85546875" style="36" customWidth="1"/>
    <col min="8" max="8" width="18.5703125" style="36" hidden="1" customWidth="1"/>
    <col min="9" max="9" width="7.42578125" style="36" hidden="1" customWidth="1"/>
    <col min="10" max="10" width="10" style="36" customWidth="1"/>
    <col min="11" max="11" width="13.42578125" style="41" customWidth="1"/>
    <col min="12" max="12" width="17" style="41" customWidth="1"/>
    <col min="13" max="13" width="14.28515625" style="41" customWidth="1"/>
    <col min="14" max="14" width="9.85546875" style="41" customWidth="1"/>
    <col min="15" max="15" width="5" style="36" customWidth="1"/>
    <col min="16" max="16384" width="9.140625" style="36"/>
  </cols>
  <sheetData>
    <row r="1" spans="2:22" s="22" customFormat="1" ht="30" customHeight="1" x14ac:dyDescent="0.25">
      <c r="B1" s="173" t="str">
        <f>CONCATENATE('Cover Page'!B1:L1," ", 'Cover Page'!B2:L2," - SUPPORTING LANDSCAPE")</f>
        <v>FISH PASSAGE CREDIT CALCULATOR Version 1.1 - SUPPORTING LANDSCAPE</v>
      </c>
      <c r="C1" s="62"/>
      <c r="D1" s="62"/>
      <c r="E1" s="62"/>
      <c r="F1" s="62"/>
      <c r="G1" s="62"/>
      <c r="I1" s="42"/>
      <c r="J1" s="42"/>
      <c r="K1" s="42"/>
      <c r="M1" s="174"/>
      <c r="O1" s="42"/>
      <c r="P1" s="42"/>
      <c r="Q1" s="42"/>
      <c r="R1" s="42"/>
      <c r="S1" s="24"/>
      <c r="T1" s="24"/>
      <c r="U1" s="43"/>
      <c r="V1" s="24"/>
    </row>
    <row r="2" spans="2:22" s="41" customFormat="1" ht="12.75" x14ac:dyDescent="0.2">
      <c r="B2" s="29"/>
      <c r="C2" s="29"/>
      <c r="D2" s="29"/>
      <c r="E2" s="29"/>
      <c r="F2" s="44"/>
      <c r="G2" s="44"/>
      <c r="H2" s="33"/>
      <c r="I2" s="33"/>
      <c r="J2" s="33"/>
      <c r="K2" s="33"/>
      <c r="L2" s="33"/>
      <c r="M2" s="33"/>
      <c r="N2" s="33"/>
      <c r="O2" s="33"/>
      <c r="P2" s="33"/>
      <c r="Q2" s="33"/>
      <c r="R2" s="33"/>
      <c r="S2" s="28"/>
      <c r="T2" s="28"/>
      <c r="U2" s="29"/>
      <c r="V2" s="44"/>
    </row>
    <row r="3" spans="2:22" s="22" customFormat="1" ht="24.95" customHeight="1" x14ac:dyDescent="0.25">
      <c r="B3" s="445" t="str">
        <f>IF(Project_Site = "","", Project_Site)</f>
        <v/>
      </c>
      <c r="C3" s="446"/>
      <c r="D3" s="446"/>
      <c r="E3" s="447"/>
      <c r="F3" s="63"/>
      <c r="L3" s="64" t="s">
        <v>80</v>
      </c>
      <c r="M3" s="30"/>
    </row>
    <row r="4" spans="2:22" s="22" customFormat="1" ht="12.75" x14ac:dyDescent="0.25">
      <c r="B4" s="38"/>
      <c r="C4" s="38"/>
      <c r="L4" s="64" t="s">
        <v>159</v>
      </c>
      <c r="M4" s="31"/>
    </row>
    <row r="5" spans="2:22" s="22" customFormat="1" ht="12.75" x14ac:dyDescent="0.25">
      <c r="B5" s="38"/>
      <c r="C5" s="38"/>
      <c r="L5" s="64"/>
      <c r="M5" s="218"/>
    </row>
    <row r="6" spans="2:22" s="19" customFormat="1" ht="24.95" customHeight="1" x14ac:dyDescent="0.25">
      <c r="B6" s="103" t="s">
        <v>231</v>
      </c>
      <c r="C6" s="430" t="s">
        <v>221</v>
      </c>
      <c r="D6" s="431"/>
      <c r="E6" s="431"/>
      <c r="F6" s="431"/>
      <c r="G6" s="432"/>
      <c r="H6" s="103" t="s">
        <v>9</v>
      </c>
      <c r="I6" s="103" t="s">
        <v>10</v>
      </c>
      <c r="J6" s="390" t="s">
        <v>294</v>
      </c>
      <c r="K6" s="391"/>
      <c r="L6" s="391"/>
      <c r="M6" s="391"/>
      <c r="N6" s="391"/>
      <c r="O6" s="392"/>
    </row>
    <row r="7" spans="2:22" s="19" customFormat="1" ht="15.75" x14ac:dyDescent="0.25">
      <c r="B7" s="123"/>
      <c r="C7" s="104"/>
      <c r="D7" s="104"/>
      <c r="E7" s="104"/>
      <c r="F7" s="124"/>
      <c r="G7" s="124"/>
      <c r="H7" s="122"/>
      <c r="I7" s="123"/>
      <c r="J7" s="104"/>
      <c r="K7" s="104"/>
      <c r="L7" s="104"/>
      <c r="M7" s="104"/>
      <c r="N7" s="104"/>
    </row>
    <row r="8" spans="2:22" s="19" customFormat="1" ht="20.100000000000001" customHeight="1" x14ac:dyDescent="0.25">
      <c r="B8" s="427" t="s">
        <v>4</v>
      </c>
      <c r="C8" s="427"/>
      <c r="D8" s="427"/>
      <c r="E8" s="427"/>
      <c r="F8" s="427"/>
      <c r="G8" s="427"/>
      <c r="H8" s="122"/>
      <c r="I8" s="123"/>
      <c r="J8" s="104"/>
      <c r="K8" s="104"/>
      <c r="L8" s="104"/>
      <c r="M8" s="104"/>
      <c r="N8" s="104"/>
      <c r="P8" s="58"/>
      <c r="Q8" s="58"/>
      <c r="R8" s="58"/>
      <c r="S8" s="58"/>
      <c r="T8" s="58"/>
      <c r="U8" s="58"/>
    </row>
    <row r="9" spans="2:22" s="20" customFormat="1" ht="16.5" thickBot="1" x14ac:dyDescent="0.3">
      <c r="B9" s="123"/>
      <c r="C9" s="133"/>
      <c r="D9" s="133"/>
      <c r="E9" s="133"/>
      <c r="F9" s="135"/>
      <c r="G9" s="135"/>
      <c r="H9" s="122"/>
      <c r="I9" s="123"/>
      <c r="J9" s="104"/>
      <c r="K9" s="450" t="s">
        <v>224</v>
      </c>
      <c r="L9" s="450"/>
      <c r="M9" s="450"/>
      <c r="N9" s="104"/>
      <c r="O9" s="19"/>
      <c r="P9" s="77"/>
      <c r="Q9" s="77"/>
      <c r="R9" s="77"/>
      <c r="S9" s="58"/>
      <c r="T9" s="58"/>
      <c r="U9" s="58"/>
    </row>
    <row r="10" spans="2:22" s="20" customFormat="1" ht="64.5" customHeight="1" x14ac:dyDescent="0.25">
      <c r="B10" s="108" t="s">
        <v>71</v>
      </c>
      <c r="C10" s="452" t="s">
        <v>363</v>
      </c>
      <c r="D10" s="434"/>
      <c r="E10" s="434"/>
      <c r="F10" s="435"/>
      <c r="G10" s="141" t="s">
        <v>19</v>
      </c>
      <c r="H10" s="122"/>
      <c r="I10" s="126"/>
      <c r="J10" s="149"/>
      <c r="K10" s="457" t="s">
        <v>290</v>
      </c>
      <c r="L10" s="457"/>
      <c r="M10" s="457"/>
      <c r="N10" s="457"/>
      <c r="P10" s="449"/>
      <c r="Q10" s="449"/>
      <c r="R10" s="449"/>
      <c r="S10" s="58"/>
      <c r="T10" s="58"/>
      <c r="U10" s="58"/>
    </row>
    <row r="11" spans="2:22" s="20" customFormat="1" ht="35.1" customHeight="1" x14ac:dyDescent="0.25">
      <c r="B11" s="123"/>
      <c r="C11" s="441" t="s">
        <v>95</v>
      </c>
      <c r="D11" s="442"/>
      <c r="E11" s="442"/>
      <c r="F11" s="443"/>
      <c r="G11" s="142"/>
      <c r="H11" s="122"/>
      <c r="I11" s="123"/>
      <c r="J11" s="149"/>
      <c r="K11" s="150"/>
      <c r="L11" s="151" t="s">
        <v>237</v>
      </c>
      <c r="M11" s="151" t="s">
        <v>208</v>
      </c>
      <c r="N11" s="151" t="s">
        <v>41</v>
      </c>
      <c r="P11" s="80"/>
      <c r="Q11" s="50"/>
      <c r="R11" s="50"/>
      <c r="S11" s="58"/>
      <c r="T11" s="58"/>
      <c r="U11" s="58"/>
    </row>
    <row r="12" spans="2:22" s="19" customFormat="1" ht="20.100000000000001" customHeight="1" x14ac:dyDescent="0.25">
      <c r="B12" s="123"/>
      <c r="C12" s="136"/>
      <c r="D12" s="136"/>
      <c r="E12" s="136"/>
      <c r="F12" s="144" t="s">
        <v>147</v>
      </c>
      <c r="G12" s="145" t="str">
        <f>IF(ProtectRiparian&lt;"a","",VLOOKUP(ProtectRiparian,LU_Pct_Protected_Score,2,FALSE))</f>
        <v/>
      </c>
      <c r="H12" s="132"/>
      <c r="I12" s="123"/>
      <c r="J12" s="149"/>
      <c r="K12" s="151" t="s">
        <v>162</v>
      </c>
      <c r="L12" s="120"/>
      <c r="M12" s="120"/>
      <c r="N12" s="153" t="str">
        <f>IF(M12&lt;&gt;"",M12/(L12+M12)*100,"")</f>
        <v/>
      </c>
      <c r="O12" s="20"/>
      <c r="P12" s="50"/>
      <c r="Q12" s="50"/>
      <c r="R12" s="65"/>
      <c r="S12" s="58"/>
      <c r="T12" s="58"/>
      <c r="U12" s="58"/>
    </row>
    <row r="13" spans="2:22" s="19" customFormat="1" ht="27" customHeight="1" x14ac:dyDescent="0.25">
      <c r="B13" s="160"/>
      <c r="C13" s="138"/>
      <c r="D13" s="138"/>
      <c r="E13" s="138"/>
      <c r="F13" s="170"/>
      <c r="G13" s="171"/>
      <c r="H13" s="132"/>
      <c r="I13" s="160"/>
      <c r="J13" s="149"/>
      <c r="K13" s="105"/>
      <c r="L13" s="105"/>
      <c r="M13" s="105"/>
      <c r="N13" s="201"/>
      <c r="O13" s="20"/>
      <c r="P13" s="50"/>
      <c r="Q13" s="50"/>
      <c r="R13" s="65"/>
      <c r="S13" s="58"/>
      <c r="T13" s="58"/>
      <c r="U13" s="58"/>
    </row>
    <row r="14" spans="2:22" s="19" customFormat="1" ht="16.5" thickBot="1" x14ac:dyDescent="0.3">
      <c r="B14" s="123"/>
      <c r="C14" s="104"/>
      <c r="D14" s="104"/>
      <c r="E14" s="104"/>
      <c r="F14" s="124"/>
      <c r="G14" s="124"/>
      <c r="H14" s="122"/>
      <c r="I14" s="123"/>
      <c r="J14" s="104"/>
      <c r="K14" s="456" t="s">
        <v>135</v>
      </c>
      <c r="L14" s="456"/>
      <c r="M14" s="456"/>
      <c r="N14" s="456"/>
      <c r="P14" s="448"/>
      <c r="Q14" s="448"/>
      <c r="R14" s="448"/>
      <c r="S14" s="58"/>
      <c r="T14" s="58"/>
      <c r="U14" s="58"/>
    </row>
    <row r="15" spans="2:22" s="19" customFormat="1" ht="50.1" customHeight="1" x14ac:dyDescent="0.25">
      <c r="B15" s="108" t="s">
        <v>67</v>
      </c>
      <c r="C15" s="453" t="s">
        <v>362</v>
      </c>
      <c r="D15" s="454"/>
      <c r="E15" s="454"/>
      <c r="F15" s="455"/>
      <c r="G15" s="141" t="s">
        <v>19</v>
      </c>
      <c r="H15" s="122"/>
      <c r="I15" s="126" t="s">
        <v>6</v>
      </c>
      <c r="J15" s="104"/>
      <c r="K15" s="150"/>
      <c r="L15" s="151" t="s">
        <v>360</v>
      </c>
      <c r="M15" s="151" t="s">
        <v>361</v>
      </c>
      <c r="N15" s="151" t="s">
        <v>41</v>
      </c>
      <c r="P15" s="80"/>
      <c r="Q15" s="50"/>
      <c r="R15" s="50"/>
      <c r="S15" s="58"/>
      <c r="T15" s="58"/>
      <c r="U15" s="58"/>
    </row>
    <row r="16" spans="2:22" s="19" customFormat="1" ht="35.1" customHeight="1" x14ac:dyDescent="0.25">
      <c r="B16" s="149"/>
      <c r="C16" s="424" t="s">
        <v>95</v>
      </c>
      <c r="D16" s="425"/>
      <c r="E16" s="425"/>
      <c r="F16" s="426"/>
      <c r="G16" s="152"/>
      <c r="H16" s="122"/>
      <c r="I16" s="123"/>
      <c r="J16" s="104"/>
      <c r="K16" s="151" t="s">
        <v>162</v>
      </c>
      <c r="L16" s="120"/>
      <c r="M16" s="120"/>
      <c r="N16" s="153" t="str">
        <f>IF(M16&lt;&gt;"",M16/(L16+M16)*100,"")</f>
        <v/>
      </c>
      <c r="P16" s="50"/>
      <c r="Q16" s="50"/>
      <c r="R16" s="65"/>
      <c r="S16" s="58"/>
      <c r="T16" s="58"/>
      <c r="U16" s="58"/>
    </row>
    <row r="17" spans="2:21" s="19" customFormat="1" ht="20.100000000000001" customHeight="1" x14ac:dyDescent="0.25">
      <c r="B17" s="149"/>
      <c r="C17" s="125"/>
      <c r="D17" s="125"/>
      <c r="E17" s="125"/>
      <c r="F17" s="144" t="s">
        <v>147</v>
      </c>
      <c r="G17" s="154" t="str">
        <f>IF(ProtectContArea&lt;"a","",VLOOKUP(ProtectContArea,LU_Pct_Protected_Score,2,FALSE))</f>
        <v/>
      </c>
      <c r="H17" s="122"/>
      <c r="I17" s="123"/>
      <c r="J17" s="104"/>
      <c r="K17" s="155"/>
      <c r="L17" s="155"/>
      <c r="M17" s="156"/>
      <c r="N17" s="104"/>
      <c r="P17" s="50"/>
      <c r="Q17" s="50"/>
      <c r="R17" s="65"/>
      <c r="S17" s="58"/>
      <c r="T17" s="58"/>
      <c r="U17" s="58"/>
    </row>
    <row r="18" spans="2:21" s="19" customFormat="1" ht="16.5" customHeight="1" x14ac:dyDescent="0.25">
      <c r="B18" s="109"/>
      <c r="C18" s="109"/>
      <c r="D18" s="109"/>
      <c r="E18" s="109"/>
      <c r="F18" s="109"/>
      <c r="G18" s="109"/>
      <c r="H18" s="109"/>
      <c r="I18" s="109"/>
      <c r="J18" s="106"/>
      <c r="K18" s="104"/>
      <c r="L18" s="104"/>
      <c r="M18" s="104"/>
      <c r="N18" s="104"/>
      <c r="P18" s="50"/>
      <c r="Q18" s="50"/>
      <c r="R18" s="65"/>
      <c r="S18" s="58"/>
      <c r="T18" s="58"/>
      <c r="U18" s="58"/>
    </row>
    <row r="19" spans="2:21" s="19" customFormat="1" ht="16.5" customHeight="1" x14ac:dyDescent="0.25">
      <c r="B19" s="109"/>
      <c r="C19" s="334" t="s">
        <v>214</v>
      </c>
      <c r="D19" s="334"/>
      <c r="E19" s="334"/>
      <c r="F19" s="334"/>
      <c r="G19" s="334"/>
      <c r="H19" s="109"/>
      <c r="I19" s="109"/>
      <c r="J19" s="104"/>
      <c r="K19" s="104"/>
      <c r="L19" s="104"/>
      <c r="M19" s="104"/>
      <c r="N19" s="104"/>
      <c r="P19" s="50"/>
      <c r="Q19" s="50"/>
      <c r="R19" s="65"/>
      <c r="S19" s="58"/>
      <c r="T19" s="58"/>
      <c r="U19" s="58"/>
    </row>
    <row r="20" spans="2:21" s="19" customFormat="1" ht="35.1" customHeight="1" x14ac:dyDescent="0.25">
      <c r="B20" s="109"/>
      <c r="C20" s="335"/>
      <c r="D20" s="335"/>
      <c r="E20" s="335"/>
      <c r="F20" s="335"/>
      <c r="G20" s="335"/>
      <c r="H20" s="109"/>
      <c r="I20" s="109"/>
      <c r="J20" s="104"/>
      <c r="K20" s="104"/>
      <c r="L20" s="104"/>
      <c r="M20" s="104"/>
      <c r="N20" s="104"/>
      <c r="P20" s="50"/>
      <c r="Q20" s="50"/>
      <c r="R20" s="65"/>
      <c r="S20" s="58"/>
      <c r="T20" s="58"/>
      <c r="U20" s="58"/>
    </row>
    <row r="21" spans="2:21" s="19" customFormat="1" ht="16.5" customHeight="1" x14ac:dyDescent="0.25">
      <c r="B21" s="109"/>
      <c r="C21" s="109"/>
      <c r="D21" s="109"/>
      <c r="E21" s="109"/>
      <c r="F21" s="109"/>
      <c r="G21" s="109"/>
      <c r="H21" s="109"/>
      <c r="I21" s="109"/>
      <c r="J21" s="136"/>
      <c r="K21" s="104"/>
      <c r="L21" s="104"/>
      <c r="M21" s="104"/>
      <c r="N21" s="136"/>
      <c r="P21" s="50"/>
      <c r="Q21" s="50"/>
      <c r="R21" s="65"/>
      <c r="S21" s="58"/>
      <c r="T21" s="58"/>
      <c r="U21" s="58"/>
    </row>
    <row r="22" spans="2:21" s="19" customFormat="1" ht="20.100000000000001" customHeight="1" x14ac:dyDescent="0.25">
      <c r="B22" s="427" t="s">
        <v>2</v>
      </c>
      <c r="C22" s="427"/>
      <c r="D22" s="427"/>
      <c r="E22" s="427"/>
      <c r="F22" s="427"/>
      <c r="G22" s="427"/>
      <c r="H22" s="157"/>
      <c r="I22" s="157"/>
      <c r="J22" s="123"/>
      <c r="K22" s="104"/>
      <c r="L22" s="104"/>
      <c r="M22" s="104"/>
      <c r="N22" s="104"/>
      <c r="P22" s="58"/>
      <c r="Q22" s="58"/>
      <c r="R22" s="58"/>
      <c r="S22" s="58"/>
      <c r="T22" s="58"/>
      <c r="U22" s="58"/>
    </row>
    <row r="23" spans="2:21" s="19" customFormat="1" ht="16.5" thickBot="1" x14ac:dyDescent="0.3">
      <c r="B23" s="124"/>
      <c r="C23" s="125"/>
      <c r="D23" s="125"/>
      <c r="E23" s="125"/>
      <c r="F23" s="158"/>
      <c r="G23" s="158"/>
      <c r="H23" s="122"/>
      <c r="I23" s="123"/>
      <c r="J23" s="104"/>
      <c r="K23" s="149"/>
      <c r="L23" s="149"/>
      <c r="M23" s="104"/>
      <c r="N23" s="104"/>
      <c r="P23" s="58"/>
      <c r="Q23" s="58"/>
      <c r="R23" s="58"/>
      <c r="S23" s="58"/>
      <c r="T23" s="58"/>
      <c r="U23" s="58"/>
    </row>
    <row r="24" spans="2:21" s="19" customFormat="1" ht="79.5" customHeight="1" x14ac:dyDescent="0.25">
      <c r="B24" s="108" t="s">
        <v>61</v>
      </c>
      <c r="C24" s="433" t="s">
        <v>291</v>
      </c>
      <c r="D24" s="434"/>
      <c r="E24" s="434"/>
      <c r="F24" s="435"/>
      <c r="G24" s="146" t="s">
        <v>19</v>
      </c>
      <c r="H24" s="159"/>
      <c r="I24" s="126" t="s">
        <v>35</v>
      </c>
      <c r="J24" s="104"/>
      <c r="K24" s="451"/>
      <c r="L24" s="451"/>
      <c r="M24" s="104"/>
      <c r="N24" s="104"/>
    </row>
    <row r="25" spans="2:21" s="19" customFormat="1" ht="33" customHeight="1" x14ac:dyDescent="0.25">
      <c r="B25" s="123"/>
      <c r="C25" s="437" t="s">
        <v>364</v>
      </c>
      <c r="D25" s="437"/>
      <c r="E25" s="437"/>
      <c r="F25" s="437"/>
      <c r="G25" s="161"/>
      <c r="H25" s="122"/>
      <c r="I25" s="123"/>
      <c r="J25" s="104"/>
      <c r="K25" s="149"/>
      <c r="L25" s="149"/>
      <c r="M25" s="104"/>
      <c r="N25" s="104"/>
    </row>
    <row r="26" spans="2:21" s="19" customFormat="1" ht="20.100000000000001" customHeight="1" x14ac:dyDescent="0.25">
      <c r="B26" s="123"/>
      <c r="C26" s="125"/>
      <c r="D26" s="162"/>
      <c r="E26" s="136"/>
      <c r="F26" s="163" t="s">
        <v>147</v>
      </c>
      <c r="G26" s="145" t="str">
        <f>IF(NNSpec&lt;"a","",VLOOKUP(NNSpec,LU_NNSp_Score,2,FALSE))</f>
        <v/>
      </c>
      <c r="H26" s="132"/>
      <c r="I26" s="123"/>
      <c r="J26" s="104"/>
      <c r="K26" s="149"/>
      <c r="L26" s="149"/>
      <c r="M26" s="104"/>
      <c r="N26" s="104"/>
    </row>
    <row r="27" spans="2:21" s="19" customFormat="1" ht="15.75" x14ac:dyDescent="0.25">
      <c r="B27" s="123"/>
      <c r="C27" s="125"/>
      <c r="D27" s="162"/>
      <c r="E27" s="162"/>
      <c r="F27" s="162"/>
      <c r="G27" s="164"/>
      <c r="H27" s="136"/>
      <c r="I27" s="105"/>
      <c r="J27" s="106"/>
      <c r="K27" s="149"/>
      <c r="L27" s="149"/>
      <c r="M27" s="104"/>
      <c r="N27" s="104"/>
    </row>
    <row r="28" spans="2:21" s="19" customFormat="1" ht="16.5" customHeight="1" x14ac:dyDescent="0.25">
      <c r="B28" s="109"/>
      <c r="C28" s="334" t="s">
        <v>213</v>
      </c>
      <c r="D28" s="334"/>
      <c r="E28" s="334"/>
      <c r="F28" s="334"/>
      <c r="G28" s="334"/>
      <c r="H28" s="109"/>
      <c r="I28" s="109"/>
      <c r="J28" s="104"/>
      <c r="K28" s="104"/>
      <c r="L28" s="104"/>
      <c r="M28" s="104"/>
      <c r="N28" s="104"/>
      <c r="P28" s="50"/>
      <c r="Q28" s="50"/>
      <c r="R28" s="65"/>
      <c r="S28" s="58"/>
      <c r="T28" s="58"/>
      <c r="U28" s="58"/>
    </row>
    <row r="29" spans="2:21" s="19" customFormat="1" ht="35.1" customHeight="1" x14ac:dyDescent="0.25">
      <c r="B29" s="109"/>
      <c r="C29" s="335"/>
      <c r="D29" s="335"/>
      <c r="E29" s="335"/>
      <c r="F29" s="335"/>
      <c r="G29" s="335"/>
      <c r="H29" s="109"/>
      <c r="I29" s="109"/>
      <c r="J29" s="104"/>
      <c r="K29" s="104"/>
      <c r="L29" s="104"/>
      <c r="M29" s="104"/>
      <c r="N29" s="104"/>
      <c r="P29" s="50"/>
      <c r="Q29" s="50"/>
      <c r="R29" s="65"/>
      <c r="S29" s="58"/>
      <c r="T29" s="58"/>
      <c r="U29" s="58"/>
    </row>
    <row r="30" spans="2:21" s="19" customFormat="1" ht="15.75" x14ac:dyDescent="0.25">
      <c r="B30" s="123"/>
      <c r="C30" s="125"/>
      <c r="D30" s="162"/>
      <c r="E30" s="162"/>
      <c r="F30" s="162"/>
      <c r="G30" s="164"/>
      <c r="H30" s="122"/>
      <c r="I30" s="123"/>
      <c r="J30" s="104"/>
      <c r="K30" s="149"/>
      <c r="L30" s="149"/>
      <c r="M30" s="104"/>
      <c r="N30" s="104"/>
    </row>
    <row r="31" spans="2:21" s="19" customFormat="1" ht="20.100000000000001" customHeight="1" x14ac:dyDescent="0.25">
      <c r="B31" s="458" t="s">
        <v>0</v>
      </c>
      <c r="C31" s="459"/>
      <c r="D31" s="459"/>
      <c r="E31" s="459"/>
      <c r="F31" s="459"/>
      <c r="G31" s="460"/>
      <c r="H31" s="122"/>
      <c r="I31" s="123"/>
      <c r="J31" s="104"/>
      <c r="K31" s="104"/>
      <c r="L31" s="104"/>
      <c r="M31" s="104"/>
      <c r="N31" s="104"/>
    </row>
    <row r="32" spans="2:21" s="19" customFormat="1" ht="16.5" thickBot="1" x14ac:dyDescent="0.3">
      <c r="B32" s="123"/>
      <c r="C32" s="469"/>
      <c r="D32" s="469"/>
      <c r="E32" s="469"/>
      <c r="F32" s="124"/>
      <c r="G32" s="123"/>
      <c r="H32" s="122"/>
      <c r="I32" s="123"/>
      <c r="J32" s="104"/>
      <c r="K32" s="104"/>
      <c r="L32" s="104"/>
      <c r="M32" s="104"/>
      <c r="N32" s="104"/>
    </row>
    <row r="33" spans="2:21" s="19" customFormat="1" ht="65.099999999999994" customHeight="1" x14ac:dyDescent="0.25">
      <c r="B33" s="108" t="s">
        <v>64</v>
      </c>
      <c r="C33" s="433" t="s">
        <v>366</v>
      </c>
      <c r="D33" s="434"/>
      <c r="E33" s="434"/>
      <c r="F33" s="435"/>
      <c r="G33" s="141" t="s">
        <v>19</v>
      </c>
      <c r="H33" s="122"/>
      <c r="I33" s="126" t="s">
        <v>5</v>
      </c>
      <c r="J33" s="104"/>
      <c r="K33" s="104"/>
      <c r="L33" s="104"/>
      <c r="M33" s="104"/>
      <c r="N33" s="104"/>
    </row>
    <row r="34" spans="2:21" s="19" customFormat="1" ht="20.100000000000001" customHeight="1" x14ac:dyDescent="0.3">
      <c r="B34" s="123"/>
      <c r="C34" s="441" t="s">
        <v>1</v>
      </c>
      <c r="D34" s="442"/>
      <c r="E34" s="442"/>
      <c r="F34" s="443"/>
      <c r="G34" s="165"/>
      <c r="H34" s="122"/>
      <c r="I34" s="123"/>
      <c r="J34" s="104"/>
      <c r="K34" s="104"/>
      <c r="L34" s="104"/>
      <c r="M34" s="104"/>
      <c r="N34" s="104"/>
    </row>
    <row r="35" spans="2:21" s="19" customFormat="1" ht="20.100000000000001" customHeight="1" x14ac:dyDescent="0.3">
      <c r="B35" s="123"/>
      <c r="C35" s="125"/>
      <c r="D35" s="162"/>
      <c r="E35" s="136"/>
      <c r="F35" s="144" t="s">
        <v>147</v>
      </c>
      <c r="G35" s="154" t="str">
        <f>IF(DEQ303d&lt;"a","",VLOOKUP(DEQ303d,LU_DEQ303D_Score,2,FALSE))</f>
        <v/>
      </c>
      <c r="H35" s="122"/>
      <c r="I35" s="123"/>
      <c r="J35" s="104"/>
      <c r="K35" s="149"/>
      <c r="L35" s="149"/>
      <c r="M35" s="104"/>
      <c r="N35" s="104"/>
    </row>
    <row r="36" spans="2:21" s="19" customFormat="1" ht="20.25" customHeight="1" thickBot="1" x14ac:dyDescent="0.35">
      <c r="B36" s="123"/>
      <c r="C36" s="125"/>
      <c r="D36" s="125"/>
      <c r="E36" s="125"/>
      <c r="F36" s="125"/>
      <c r="G36" s="125"/>
      <c r="H36" s="166"/>
      <c r="I36" s="123"/>
      <c r="J36" s="104"/>
      <c r="K36" s="438" t="s">
        <v>225</v>
      </c>
      <c r="L36" s="438"/>
      <c r="M36" s="438"/>
      <c r="N36" s="438"/>
    </row>
    <row r="37" spans="2:21" s="19" customFormat="1" ht="54.75" customHeight="1" x14ac:dyDescent="0.25">
      <c r="B37" s="108" t="s">
        <v>65</v>
      </c>
      <c r="C37" s="452" t="s">
        <v>255</v>
      </c>
      <c r="D37" s="461"/>
      <c r="E37" s="461"/>
      <c r="F37" s="462"/>
      <c r="G37" s="146" t="s">
        <v>19</v>
      </c>
      <c r="H37" s="122"/>
      <c r="I37" s="126" t="s">
        <v>33</v>
      </c>
      <c r="J37" s="104"/>
      <c r="K37" s="439" t="s">
        <v>166</v>
      </c>
      <c r="L37" s="439"/>
      <c r="M37" s="439"/>
      <c r="N37" s="104"/>
    </row>
    <row r="38" spans="2:21" s="19" customFormat="1" ht="46.9" x14ac:dyDescent="0.3">
      <c r="B38" s="123"/>
      <c r="C38" s="441" t="s">
        <v>52</v>
      </c>
      <c r="D38" s="442"/>
      <c r="E38" s="442"/>
      <c r="F38" s="443"/>
      <c r="G38" s="147"/>
      <c r="H38" s="122"/>
      <c r="I38" s="123"/>
      <c r="J38" s="104"/>
      <c r="K38" s="128" t="s">
        <v>238</v>
      </c>
      <c r="L38" s="128" t="s">
        <v>240</v>
      </c>
      <c r="M38" s="128" t="s">
        <v>239</v>
      </c>
      <c r="N38" s="128" t="s">
        <v>41</v>
      </c>
    </row>
    <row r="39" spans="2:21" s="19" customFormat="1" ht="20.100000000000001" customHeight="1" x14ac:dyDescent="0.3">
      <c r="B39" s="123"/>
      <c r="C39" s="125"/>
      <c r="D39" s="125"/>
      <c r="E39" s="125"/>
      <c r="F39" s="144" t="s">
        <v>147</v>
      </c>
      <c r="G39" s="145" t="str">
        <f>IF(PctAgriculture&lt;"a","",VLOOKUP(PctAgriculture,LU_PctAgrigulture_Score,2,FALSE))</f>
        <v/>
      </c>
      <c r="H39" s="132"/>
      <c r="I39" s="123"/>
      <c r="J39" s="104"/>
      <c r="K39" s="121"/>
      <c r="L39" s="121"/>
      <c r="M39" s="121"/>
      <c r="N39" s="167" t="str">
        <f>IF(M39="","",(K39+L39)/M39*100)</f>
        <v/>
      </c>
    </row>
    <row r="40" spans="2:21" s="19" customFormat="1" ht="16.149999999999999" thickBot="1" x14ac:dyDescent="0.35">
      <c r="B40" s="123"/>
      <c r="C40" s="133"/>
      <c r="D40" s="133"/>
      <c r="E40" s="133"/>
      <c r="F40" s="125"/>
      <c r="G40" s="125"/>
      <c r="H40" s="136"/>
      <c r="I40" s="105"/>
      <c r="J40" s="106"/>
      <c r="K40" s="104"/>
      <c r="L40" s="104"/>
      <c r="M40" s="104"/>
      <c r="N40" s="104"/>
    </row>
    <row r="41" spans="2:21" s="19" customFormat="1" ht="28.5" customHeight="1" x14ac:dyDescent="0.3">
      <c r="B41" s="108" t="s">
        <v>66</v>
      </c>
      <c r="C41" s="466" t="s">
        <v>256</v>
      </c>
      <c r="D41" s="467"/>
      <c r="E41" s="467"/>
      <c r="F41" s="468"/>
      <c r="G41" s="146" t="s">
        <v>19</v>
      </c>
      <c r="H41" s="157"/>
      <c r="I41" s="168" t="s">
        <v>53</v>
      </c>
      <c r="J41" s="104"/>
      <c r="K41" s="440" t="s">
        <v>226</v>
      </c>
      <c r="L41" s="440"/>
      <c r="M41" s="440"/>
      <c r="N41" s="104"/>
    </row>
    <row r="42" spans="2:21" s="19" customFormat="1" ht="47.25" customHeight="1" x14ac:dyDescent="0.3">
      <c r="B42" s="149"/>
      <c r="C42" s="441" t="s">
        <v>257</v>
      </c>
      <c r="D42" s="442"/>
      <c r="E42" s="442"/>
      <c r="F42" s="443"/>
      <c r="G42" s="147"/>
      <c r="H42" s="122"/>
      <c r="I42" s="123"/>
      <c r="J42" s="104"/>
      <c r="K42" s="202" t="s">
        <v>167</v>
      </c>
      <c r="L42" s="221" t="s">
        <v>307</v>
      </c>
      <c r="M42" s="202" t="s">
        <v>258</v>
      </c>
      <c r="N42" s="202" t="s">
        <v>168</v>
      </c>
      <c r="O42" s="104"/>
    </row>
    <row r="43" spans="2:21" s="19" customFormat="1" ht="20.100000000000001" customHeight="1" x14ac:dyDescent="0.3">
      <c r="B43" s="123"/>
      <c r="C43" s="104"/>
      <c r="D43" s="104"/>
      <c r="E43" s="104"/>
      <c r="F43" s="144" t="s">
        <v>147</v>
      </c>
      <c r="G43" s="145" t="str">
        <f>IF(RoadDensity&lt;"a","",VLOOKUP(RoadDensity,LU_RoadDensity_Score,2,FALSE))</f>
        <v/>
      </c>
      <c r="H43" s="132"/>
      <c r="I43" s="123"/>
      <c r="J43" s="104"/>
      <c r="K43" s="169"/>
      <c r="L43" s="256"/>
      <c r="M43" s="167" t="str">
        <f>IF(L43="","",L43*900 *0.0000003861)</f>
        <v/>
      </c>
      <c r="N43" s="167" t="str">
        <f>IF(OR(K43="",M43=""),"",K43/M43)</f>
        <v/>
      </c>
      <c r="O43" s="104"/>
    </row>
    <row r="44" spans="2:21" s="20" customFormat="1" ht="15.6" x14ac:dyDescent="0.3">
      <c r="B44" s="123"/>
      <c r="C44" s="149"/>
      <c r="D44" s="149"/>
      <c r="E44" s="149"/>
      <c r="F44" s="170"/>
      <c r="G44" s="171"/>
      <c r="H44" s="136"/>
      <c r="I44" s="105"/>
      <c r="J44" s="136"/>
      <c r="K44" s="156"/>
      <c r="L44" s="156"/>
      <c r="M44" s="156"/>
      <c r="N44" s="149"/>
    </row>
    <row r="45" spans="2:21" s="19" customFormat="1" ht="16.5" customHeight="1" x14ac:dyDescent="0.3">
      <c r="B45" s="109"/>
      <c r="C45" s="334" t="s">
        <v>212</v>
      </c>
      <c r="D45" s="334"/>
      <c r="E45" s="334"/>
      <c r="F45" s="334"/>
      <c r="G45" s="334"/>
      <c r="H45" s="109"/>
      <c r="I45" s="109"/>
      <c r="J45" s="104"/>
      <c r="K45" s="104"/>
      <c r="L45" s="104"/>
      <c r="M45" s="104"/>
      <c r="N45" s="104"/>
      <c r="P45" s="50"/>
      <c r="Q45" s="50"/>
      <c r="R45" s="65"/>
      <c r="S45" s="58"/>
      <c r="T45" s="58"/>
      <c r="U45" s="58"/>
    </row>
    <row r="46" spans="2:21" s="19" customFormat="1" ht="35.1" customHeight="1" x14ac:dyDescent="0.3">
      <c r="B46" s="109"/>
      <c r="C46" s="335"/>
      <c r="D46" s="335"/>
      <c r="E46" s="335"/>
      <c r="F46" s="335"/>
      <c r="G46" s="335"/>
      <c r="H46" s="109"/>
      <c r="I46" s="109"/>
      <c r="J46" s="104"/>
      <c r="K46" s="104"/>
      <c r="L46" s="104"/>
      <c r="M46" s="104"/>
      <c r="N46" s="104"/>
      <c r="P46" s="50"/>
      <c r="Q46" s="50"/>
      <c r="R46" s="65"/>
      <c r="S46" s="58"/>
      <c r="T46" s="58"/>
      <c r="U46" s="58"/>
    </row>
    <row r="47" spans="2:21" s="19" customFormat="1" ht="12.75" customHeight="1" x14ac:dyDescent="0.3">
      <c r="B47" s="123"/>
      <c r="C47" s="133"/>
      <c r="D47" s="133"/>
      <c r="E47" s="133"/>
      <c r="F47" s="135"/>
      <c r="G47" s="135"/>
      <c r="H47" s="122"/>
      <c r="I47" s="123"/>
      <c r="J47" s="104"/>
      <c r="K47" s="104"/>
      <c r="L47" s="104"/>
      <c r="M47" s="104"/>
      <c r="N47" s="104"/>
    </row>
    <row r="48" spans="2:21" s="19" customFormat="1" ht="20.100000000000001" customHeight="1" x14ac:dyDescent="0.3">
      <c r="B48" s="458" t="s">
        <v>81</v>
      </c>
      <c r="C48" s="459"/>
      <c r="D48" s="459"/>
      <c r="E48" s="459"/>
      <c r="F48" s="459"/>
      <c r="G48" s="460"/>
      <c r="H48" s="122"/>
      <c r="I48" s="123"/>
      <c r="J48" s="104"/>
      <c r="K48" s="104"/>
      <c r="L48" s="104"/>
      <c r="M48" s="104"/>
      <c r="N48" s="104"/>
    </row>
    <row r="49" spans="2:21" s="19" customFormat="1" ht="18" customHeight="1" thickBot="1" x14ac:dyDescent="0.35">
      <c r="B49" s="123"/>
      <c r="C49" s="104"/>
      <c r="D49" s="104"/>
      <c r="E49" s="104"/>
      <c r="F49" s="124"/>
      <c r="G49" s="123"/>
      <c r="H49" s="122"/>
      <c r="I49" s="123"/>
      <c r="J49" s="104"/>
      <c r="K49" s="444" t="s">
        <v>227</v>
      </c>
      <c r="L49" s="444"/>
      <c r="M49" s="444"/>
      <c r="N49" s="104"/>
    </row>
    <row r="50" spans="2:21" s="19" customFormat="1" ht="50.1" customHeight="1" x14ac:dyDescent="0.3">
      <c r="B50" s="108" t="s">
        <v>68</v>
      </c>
      <c r="C50" s="463" t="s">
        <v>292</v>
      </c>
      <c r="D50" s="464"/>
      <c r="E50" s="464"/>
      <c r="F50" s="465"/>
      <c r="G50" s="141" t="s">
        <v>19</v>
      </c>
      <c r="H50" s="122"/>
      <c r="I50" s="108"/>
      <c r="J50" s="104"/>
      <c r="K50" s="202" t="s">
        <v>169</v>
      </c>
      <c r="L50" s="202" t="s">
        <v>309</v>
      </c>
      <c r="M50" s="202" t="s">
        <v>168</v>
      </c>
      <c r="N50" s="104"/>
    </row>
    <row r="51" spans="2:21" s="19" customFormat="1" ht="30" customHeight="1" x14ac:dyDescent="0.3">
      <c r="B51" s="123"/>
      <c r="C51" s="441" t="s">
        <v>51</v>
      </c>
      <c r="D51" s="442"/>
      <c r="E51" s="442"/>
      <c r="F51" s="443"/>
      <c r="G51" s="152"/>
      <c r="H51" s="122"/>
      <c r="I51" s="123"/>
      <c r="J51" s="104"/>
      <c r="K51" s="121"/>
      <c r="L51" s="169"/>
      <c r="M51" s="172" t="str">
        <f>IF(OR(K51="",L51=""),"", IF(L51=0,0,K51/L51))</f>
        <v/>
      </c>
      <c r="N51" s="104"/>
    </row>
    <row r="52" spans="2:21" ht="20.100000000000001" customHeight="1" x14ac:dyDescent="0.25">
      <c r="B52" s="123"/>
      <c r="C52" s="133"/>
      <c r="D52" s="133"/>
      <c r="E52" s="133"/>
      <c r="F52" s="144" t="s">
        <v>147</v>
      </c>
      <c r="G52" s="154" t="str">
        <f>IF(StreamXDen&lt;"a","",VLOOKUP(StreamXDen,LU_StreamXDensity_Score,2,FALSE))</f>
        <v/>
      </c>
      <c r="H52" s="91"/>
      <c r="I52" s="123"/>
      <c r="J52" s="104"/>
      <c r="K52" s="436" t="s">
        <v>170</v>
      </c>
      <c r="L52" s="436"/>
      <c r="M52" s="436"/>
      <c r="N52" s="104"/>
      <c r="O52" s="19"/>
      <c r="P52" s="19"/>
    </row>
    <row r="53" spans="2:21" ht="12.75" customHeight="1" x14ac:dyDescent="0.25">
      <c r="B53" s="91"/>
      <c r="C53" s="91"/>
      <c r="D53" s="91"/>
      <c r="E53" s="91"/>
      <c r="F53" s="91"/>
      <c r="G53" s="91"/>
      <c r="H53" s="91"/>
      <c r="I53" s="91"/>
      <c r="J53" s="91"/>
      <c r="K53" s="91"/>
      <c r="L53" s="91"/>
      <c r="M53" s="91"/>
      <c r="N53" s="91"/>
    </row>
    <row r="54" spans="2:21" s="19" customFormat="1" ht="16.5" customHeight="1" x14ac:dyDescent="0.25">
      <c r="B54" s="109"/>
      <c r="C54" s="334" t="s">
        <v>211</v>
      </c>
      <c r="D54" s="334"/>
      <c r="E54" s="334"/>
      <c r="F54" s="334"/>
      <c r="G54" s="334"/>
      <c r="H54" s="109"/>
      <c r="I54" s="109"/>
      <c r="J54" s="104"/>
      <c r="K54" s="104"/>
      <c r="L54" s="104"/>
      <c r="M54" s="104"/>
      <c r="N54" s="104"/>
      <c r="P54" s="50"/>
      <c r="Q54" s="50"/>
      <c r="R54" s="65"/>
      <c r="S54" s="58"/>
      <c r="T54" s="58"/>
      <c r="U54" s="58"/>
    </row>
    <row r="55" spans="2:21" s="19" customFormat="1" ht="35.1" customHeight="1" x14ac:dyDescent="0.25">
      <c r="B55" s="109"/>
      <c r="C55" s="335"/>
      <c r="D55" s="335"/>
      <c r="E55" s="335"/>
      <c r="F55" s="335"/>
      <c r="G55" s="335"/>
      <c r="H55" s="109"/>
      <c r="I55" s="109"/>
      <c r="J55" s="104"/>
      <c r="K55" s="104"/>
      <c r="L55" s="104"/>
      <c r="M55" s="104"/>
      <c r="N55" s="104"/>
      <c r="P55" s="50"/>
      <c r="Q55" s="50"/>
      <c r="R55" s="65"/>
      <c r="S55" s="58"/>
      <c r="T55" s="58"/>
      <c r="U55" s="58"/>
    </row>
    <row r="56" spans="2:21" ht="15.75" x14ac:dyDescent="0.25">
      <c r="B56" s="91"/>
      <c r="C56" s="91"/>
      <c r="D56" s="91"/>
      <c r="E56" s="91"/>
      <c r="F56" s="91"/>
      <c r="G56" s="91"/>
      <c r="H56" s="91"/>
      <c r="I56" s="91"/>
      <c r="J56" s="91"/>
      <c r="K56" s="91"/>
      <c r="L56" s="91"/>
      <c r="M56" s="91"/>
      <c r="N56" s="91"/>
    </row>
  </sheetData>
  <dataConsolidate/>
  <mergeCells count="41">
    <mergeCell ref="C54:G54"/>
    <mergeCell ref="C55:G55"/>
    <mergeCell ref="B31:G31"/>
    <mergeCell ref="B22:G22"/>
    <mergeCell ref="B8:G8"/>
    <mergeCell ref="C19:G19"/>
    <mergeCell ref="C20:G20"/>
    <mergeCell ref="B48:G48"/>
    <mergeCell ref="C33:F33"/>
    <mergeCell ref="C34:F34"/>
    <mergeCell ref="C37:F37"/>
    <mergeCell ref="C51:F51"/>
    <mergeCell ref="C50:F50"/>
    <mergeCell ref="C41:F41"/>
    <mergeCell ref="C42:F42"/>
    <mergeCell ref="C32:E32"/>
    <mergeCell ref="B3:E3"/>
    <mergeCell ref="C6:G6"/>
    <mergeCell ref="C28:G28"/>
    <mergeCell ref="C29:G29"/>
    <mergeCell ref="P14:R14"/>
    <mergeCell ref="P10:R10"/>
    <mergeCell ref="K9:M9"/>
    <mergeCell ref="K24:L24"/>
    <mergeCell ref="C24:F24"/>
    <mergeCell ref="C10:F10"/>
    <mergeCell ref="C15:F15"/>
    <mergeCell ref="C16:F16"/>
    <mergeCell ref="C11:F11"/>
    <mergeCell ref="K14:N14"/>
    <mergeCell ref="K10:N10"/>
    <mergeCell ref="J6:O6"/>
    <mergeCell ref="K52:M52"/>
    <mergeCell ref="C25:F25"/>
    <mergeCell ref="K36:N36"/>
    <mergeCell ref="K37:M37"/>
    <mergeCell ref="K41:M41"/>
    <mergeCell ref="C38:F38"/>
    <mergeCell ref="C45:G45"/>
    <mergeCell ref="C46:G46"/>
    <mergeCell ref="K49:M49"/>
  </mergeCells>
  <dataValidations count="1">
    <dataValidation type="list" allowBlank="1" showInputMessage="1" showErrorMessage="1" sqref="G30">
      <formula1>Yes_No</formula1>
    </dataValidation>
  </dataValidations>
  <printOptions horizontalCentered="1"/>
  <pageMargins left="0.5" right="0.5" top="0.5" bottom="0.5" header="0.3" footer="0.3"/>
  <pageSetup scale="65" fitToHeight="0" orientation="landscape" r:id="rId1"/>
  <headerFooter>
    <oddFooter>&amp;C&amp;P</oddFooter>
  </headerFooter>
  <rowBreaks count="1" manualBreakCount="1">
    <brk id="30" min="1" max="14"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'Dropdown lists'!$C$37:$C$42</xm:f>
          </x14:formula1>
          <xm:sqref>G16</xm:sqref>
        </x14:dataValidation>
        <x14:dataValidation type="list" allowBlank="1" showInputMessage="1" showErrorMessage="1">
          <x14:formula1>
            <xm:f>'Dropdown lists'!$C$37:$C$42</xm:f>
          </x14:formula1>
          <xm:sqref>G11</xm:sqref>
        </x14:dataValidation>
        <x14:dataValidation type="list" allowBlank="1" showInputMessage="1" showErrorMessage="1">
          <x14:formula1>
            <xm:f>'Dropdown lists'!$F$37:$F$40</xm:f>
          </x14:formula1>
          <xm:sqref>G25</xm:sqref>
        </x14:dataValidation>
        <x14:dataValidation type="list" allowBlank="1" showInputMessage="1" showErrorMessage="1">
          <x14:formula1>
            <xm:f>'Dropdown lists'!$I$37:$I$39</xm:f>
          </x14:formula1>
          <xm:sqref>G34</xm:sqref>
        </x14:dataValidation>
        <x14:dataValidation type="list" allowBlank="1" showInputMessage="1" showErrorMessage="1">
          <x14:formula1>
            <xm:f>'Dropdown lists'!$C$46:$C$50</xm:f>
          </x14:formula1>
          <xm:sqref>G38</xm:sqref>
        </x14:dataValidation>
        <x14:dataValidation type="list" allowBlank="1" showInputMessage="1" showErrorMessage="1">
          <x14:formula1>
            <xm:f>'Dropdown lists'!$F$46:$F$49</xm:f>
          </x14:formula1>
          <xm:sqref>G42</xm:sqref>
        </x14:dataValidation>
        <x14:dataValidation type="list" allowBlank="1" showInputMessage="1" showErrorMessage="1">
          <x14:formula1>
            <xm:f>'Dropdown lists'!$I$46:$I$49</xm:f>
          </x14:formula1>
          <xm:sqref>G51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33"/>
    <pageSetUpPr fitToPage="1"/>
  </sheetPr>
  <dimension ref="A1:AA117"/>
  <sheetViews>
    <sheetView tabSelected="1" zoomScale="75" zoomScaleNormal="75" zoomScalePageLayoutView="40" workbookViewId="0">
      <selection activeCell="U12" sqref="U12"/>
    </sheetView>
  </sheetViews>
  <sheetFormatPr defaultRowHeight="15" x14ac:dyDescent="0.25"/>
  <cols>
    <col min="1" max="1" width="4.7109375" style="18" customWidth="1"/>
    <col min="2" max="2" width="10.42578125" customWidth="1"/>
    <col min="3" max="3" width="15.42578125" style="18" customWidth="1"/>
    <col min="4" max="4" width="10.7109375" customWidth="1"/>
    <col min="5" max="5" width="10.85546875" customWidth="1"/>
    <col min="6" max="6" width="12.42578125" customWidth="1"/>
    <col min="7" max="7" width="10.140625" customWidth="1"/>
    <col min="8" max="8" width="9.140625" customWidth="1"/>
    <col min="9" max="9" width="10.140625" customWidth="1"/>
    <col min="10" max="10" width="10.28515625" customWidth="1"/>
    <col min="11" max="11" width="8.7109375" customWidth="1"/>
    <col min="12" max="12" width="11" customWidth="1"/>
    <col min="13" max="13" width="7.42578125" customWidth="1"/>
    <col min="14" max="14" width="15" customWidth="1"/>
    <col min="15" max="15" width="11.5703125" style="18" customWidth="1"/>
    <col min="16" max="16" width="13.140625" style="18" customWidth="1"/>
    <col min="17" max="17" width="9.85546875" customWidth="1"/>
    <col min="18" max="18" width="7" customWidth="1"/>
    <col min="19" max="19" width="12.7109375" customWidth="1"/>
    <col min="20" max="20" width="14.28515625" customWidth="1"/>
    <col min="21" max="21" width="12.5703125" customWidth="1"/>
  </cols>
  <sheetData>
    <row r="1" spans="1:27" s="2" customFormat="1" ht="30" customHeight="1" x14ac:dyDescent="0.25">
      <c r="A1" s="19"/>
      <c r="B1" s="173" t="str">
        <f>CONCATENATE('Cover Page'!B1:L1," ", 'Cover Page'!B2:L2," - CREDIT CALCULATIONS")</f>
        <v>FISH PASSAGE CREDIT CALCULATOR Version 1.1 - CREDIT CALCULATIONS</v>
      </c>
      <c r="C1" s="62"/>
      <c r="D1" s="62"/>
      <c r="E1" s="62"/>
      <c r="F1" s="56"/>
      <c r="G1" s="56"/>
      <c r="H1" s="56"/>
      <c r="O1" s="19"/>
      <c r="P1" s="191"/>
    </row>
    <row r="2" spans="1:27" s="2" customFormat="1" ht="13.5" customHeight="1" x14ac:dyDescent="0.25">
      <c r="A2" s="19"/>
      <c r="B2" s="15"/>
      <c r="C2" s="15"/>
      <c r="D2" s="3"/>
      <c r="E2" s="3"/>
      <c r="K2" s="514"/>
      <c r="L2" s="514"/>
      <c r="O2" s="19"/>
      <c r="P2" s="19"/>
      <c r="R2" s="58"/>
    </row>
    <row r="3" spans="1:27" s="19" customFormat="1" ht="30" customHeight="1" x14ac:dyDescent="0.25">
      <c r="B3" s="388" t="str">
        <f>IF(Project_Site = "","", Project_Site)</f>
        <v/>
      </c>
      <c r="C3" s="388"/>
      <c r="D3" s="388"/>
      <c r="E3" s="388"/>
      <c r="F3" s="388"/>
      <c r="G3" s="388"/>
      <c r="H3" s="388"/>
      <c r="I3" s="87"/>
      <c r="J3" s="505" t="s">
        <v>154</v>
      </c>
      <c r="K3" s="505"/>
      <c r="L3" s="505"/>
      <c r="M3" s="505"/>
      <c r="N3" s="505"/>
      <c r="O3" s="505"/>
      <c r="P3" s="505"/>
      <c r="R3" s="87"/>
    </row>
    <row r="4" spans="1:27" s="19" customFormat="1" ht="20.25" customHeight="1" x14ac:dyDescent="0.25">
      <c r="B4" s="15"/>
      <c r="C4" s="15"/>
      <c r="D4" s="25"/>
      <c r="E4" s="25"/>
      <c r="K4" s="207"/>
      <c r="L4" s="207"/>
      <c r="Q4" s="184"/>
      <c r="R4" s="58"/>
      <c r="S4" s="184"/>
      <c r="T4" s="184"/>
      <c r="U4" s="184"/>
    </row>
    <row r="5" spans="1:27" ht="20.100000000000001" customHeight="1" x14ac:dyDescent="0.3">
      <c r="B5" s="473" t="s">
        <v>407</v>
      </c>
      <c r="C5" s="474"/>
      <c r="D5" s="474"/>
      <c r="E5" s="474"/>
      <c r="F5" s="474"/>
      <c r="G5" s="474"/>
      <c r="H5" s="474"/>
      <c r="I5" s="474"/>
      <c r="J5" s="474"/>
      <c r="K5" s="504"/>
      <c r="L5" s="504"/>
      <c r="M5" s="474"/>
      <c r="N5" s="474"/>
      <c r="O5" s="474"/>
      <c r="P5" s="474"/>
      <c r="Q5" s="185"/>
      <c r="R5" s="185"/>
      <c r="S5" s="185"/>
      <c r="T5" s="185"/>
      <c r="U5" s="185"/>
    </row>
    <row r="6" spans="1:27" ht="60.75" customHeight="1" x14ac:dyDescent="0.25">
      <c r="B6" s="506" t="s">
        <v>96</v>
      </c>
      <c r="C6" s="506"/>
      <c r="D6" s="186" t="s">
        <v>97</v>
      </c>
      <c r="E6" s="508" t="s">
        <v>98</v>
      </c>
      <c r="F6" s="512"/>
      <c r="G6" s="512"/>
      <c r="H6" s="512"/>
      <c r="I6" s="509"/>
      <c r="J6" s="508" t="s">
        <v>394</v>
      </c>
      <c r="K6" s="509"/>
      <c r="L6" s="517" t="s">
        <v>241</v>
      </c>
      <c r="M6" s="517"/>
      <c r="N6" s="187" t="s">
        <v>174</v>
      </c>
      <c r="O6" s="515" t="s">
        <v>175</v>
      </c>
      <c r="P6" s="515"/>
      <c r="Q6" s="32"/>
      <c r="R6" s="32"/>
      <c r="S6" s="495" t="s">
        <v>409</v>
      </c>
      <c r="T6" s="496"/>
      <c r="U6" s="496"/>
      <c r="V6" s="496"/>
      <c r="W6" s="496"/>
      <c r="X6" s="497"/>
    </row>
    <row r="7" spans="1:27" ht="39.75" customHeight="1" x14ac:dyDescent="0.25">
      <c r="B7" s="507" t="s">
        <v>99</v>
      </c>
      <c r="C7" s="507"/>
      <c r="D7" s="188">
        <v>2</v>
      </c>
      <c r="E7" s="510" t="s">
        <v>264</v>
      </c>
      <c r="F7" s="513"/>
      <c r="G7" s="513"/>
      <c r="H7" s="513"/>
      <c r="I7" s="511"/>
      <c r="J7" s="510" t="e">
        <f>IF('Instream-HabRate'!#REF! &lt;&gt;"","Yes","No")</f>
        <v>#REF!</v>
      </c>
      <c r="K7" s="511"/>
      <c r="L7" s="518" t="s">
        <v>236</v>
      </c>
      <c r="M7" s="518"/>
      <c r="N7" s="189"/>
      <c r="O7" s="516" t="s">
        <v>100</v>
      </c>
      <c r="P7" s="516"/>
      <c r="S7" s="498"/>
      <c r="T7" s="499"/>
      <c r="U7" s="499"/>
      <c r="V7" s="499"/>
      <c r="W7" s="499"/>
      <c r="X7" s="500"/>
    </row>
    <row r="8" spans="1:27" ht="42" customHeight="1" x14ac:dyDescent="0.25">
      <c r="B8" s="507" t="s">
        <v>102</v>
      </c>
      <c r="C8" s="507"/>
      <c r="D8" s="188">
        <v>2</v>
      </c>
      <c r="E8" s="510" t="s">
        <v>265</v>
      </c>
      <c r="F8" s="513"/>
      <c r="G8" s="513"/>
      <c r="H8" s="513"/>
      <c r="I8" s="511"/>
      <c r="J8" s="510" t="str">
        <f>IF(FuncRip_Score="","No",IF(OR(Entrench_Score&lt;&gt;"",Floodpln_Score&lt;&gt;""),"Yes","No"))</f>
        <v>No</v>
      </c>
      <c r="K8" s="511"/>
      <c r="L8" s="530" t="str">
        <f>IF(J8="No","", IF(AND(FuncRip_Score="",Floodpln_Score="",Entrench_Score=""),"",AVERAGE(FuncRip_Score,Floodpln_Score,Entrench_Score)))</f>
        <v/>
      </c>
      <c r="M8" s="530"/>
      <c r="N8" s="190" t="str">
        <f>IF(Nearstream_Score="","",IF(Nearstream_Score&lt;0.3,1,IF(Nearstream_Score&lt;0.7,2,3)))</f>
        <v/>
      </c>
      <c r="O8" s="516" t="s">
        <v>114</v>
      </c>
      <c r="P8" s="516"/>
      <c r="Q8" s="35"/>
      <c r="S8" s="498"/>
      <c r="T8" s="499"/>
      <c r="U8" s="499"/>
      <c r="V8" s="499"/>
      <c r="W8" s="499"/>
      <c r="X8" s="500"/>
    </row>
    <row r="9" spans="1:27" ht="61.9" customHeight="1" x14ac:dyDescent="0.25">
      <c r="B9" s="507" t="s">
        <v>101</v>
      </c>
      <c r="C9" s="507"/>
      <c r="D9" s="188">
        <v>1</v>
      </c>
      <c r="E9" s="510" t="s">
        <v>266</v>
      </c>
      <c r="F9" s="513"/>
      <c r="G9" s="513"/>
      <c r="H9" s="513"/>
      <c r="I9" s="511"/>
      <c r="J9" s="510" t="str">
        <f>IF(OR(ProtectRiparian_Score&lt;&gt;"",ProtectContArea_Score&lt;&gt;""),IF(StrmXDen_Score&lt;&gt;"","Yes","No"), "No")</f>
        <v>No</v>
      </c>
      <c r="K9" s="511"/>
      <c r="L9" s="530" t="str">
        <f>IF(J9="No","",IF(AND(RoadDensity_Score="",PctAgriculture_Score="",DEQ303d_Score=""),"",AVERAGE(MAX(ProtectContArea_Score,ProtectRiparian_Score),StrmXDen_Score,NNSpec_Score,AVERAGE(RoadDensity_Score,PctAgriculture_Score,DEQ303d_Score))))</f>
        <v/>
      </c>
      <c r="M9" s="530"/>
      <c r="N9" s="190" t="str">
        <f>IF(Landscape_Score="","",IF(Landscape_Score&lt;0.3,1,IF(Landscape_Score&lt;0.7,2,3)))</f>
        <v/>
      </c>
      <c r="O9" s="516" t="s">
        <v>113</v>
      </c>
      <c r="P9" s="516"/>
      <c r="Q9" s="55"/>
      <c r="R9" s="35"/>
      <c r="S9" s="501"/>
      <c r="T9" s="502"/>
      <c r="U9" s="502"/>
      <c r="V9" s="502"/>
      <c r="W9" s="502"/>
      <c r="X9" s="503"/>
    </row>
    <row r="10" spans="1:27" s="35" customFormat="1" ht="18.75" customHeight="1" x14ac:dyDescent="0.3">
      <c r="B10" s="59"/>
      <c r="C10" s="59"/>
      <c r="D10" s="60"/>
      <c r="E10" s="50"/>
      <c r="F10" s="50"/>
      <c r="G10" s="50"/>
      <c r="H10" s="50"/>
      <c r="I10" s="50"/>
      <c r="J10" s="50"/>
      <c r="K10" s="50"/>
      <c r="L10" s="50"/>
      <c r="M10" s="50"/>
      <c r="N10" s="50"/>
      <c r="O10" s="50"/>
      <c r="P10" s="50"/>
      <c r="Q10" s="50"/>
      <c r="R10" s="55"/>
      <c r="S10" s="55"/>
      <c r="T10" s="55"/>
      <c r="U10" s="55"/>
      <c r="V10" s="55"/>
      <c r="W10" s="55"/>
      <c r="X10" s="55"/>
    </row>
    <row r="11" spans="1:27" ht="20.100000000000001" customHeight="1" x14ac:dyDescent="0.3">
      <c r="B11" s="473" t="s">
        <v>242</v>
      </c>
      <c r="C11" s="474"/>
      <c r="D11" s="474"/>
      <c r="E11" s="474"/>
      <c r="F11" s="474"/>
      <c r="G11" s="474"/>
      <c r="H11" s="474"/>
      <c r="I11" s="474"/>
      <c r="J11" s="474"/>
      <c r="K11" s="474"/>
      <c r="L11" s="474"/>
      <c r="M11" s="474"/>
      <c r="N11" s="474"/>
      <c r="O11" s="474"/>
      <c r="P11" s="474"/>
      <c r="Q11" s="475"/>
      <c r="R11" s="35"/>
      <c r="T11" s="311"/>
      <c r="W11" s="35"/>
      <c r="X11" s="35"/>
      <c r="Y11" s="35"/>
    </row>
    <row r="12" spans="1:27" s="18" customFormat="1" ht="21" customHeight="1" x14ac:dyDescent="0.25">
      <c r="B12" s="490" t="s">
        <v>103</v>
      </c>
      <c r="C12" s="489" t="s">
        <v>267</v>
      </c>
      <c r="D12" s="483" t="s">
        <v>218</v>
      </c>
      <c r="E12" s="484"/>
      <c r="F12" s="485"/>
      <c r="G12" s="486" t="s">
        <v>13</v>
      </c>
      <c r="H12" s="487"/>
      <c r="I12" s="488"/>
      <c r="J12" s="528" t="s">
        <v>11</v>
      </c>
      <c r="K12" s="528"/>
      <c r="L12" s="528"/>
      <c r="M12" s="528"/>
      <c r="N12" s="528"/>
      <c r="O12" s="529" t="s">
        <v>12</v>
      </c>
      <c r="P12" s="529"/>
      <c r="Q12" s="529"/>
      <c r="R12" s="35"/>
      <c r="S12" s="35"/>
      <c r="T12" s="35"/>
      <c r="Y12" s="35"/>
      <c r="Z12" s="35"/>
      <c r="AA12" s="35"/>
    </row>
    <row r="13" spans="1:27" ht="31.5" x14ac:dyDescent="0.25">
      <c r="B13" s="491"/>
      <c r="C13" s="489"/>
      <c r="D13" s="175" t="s">
        <v>13</v>
      </c>
      <c r="E13" s="175" t="s">
        <v>11</v>
      </c>
      <c r="F13" s="175" t="s">
        <v>12</v>
      </c>
      <c r="G13" s="176" t="s">
        <v>104</v>
      </c>
      <c r="H13" s="176" t="s">
        <v>105</v>
      </c>
      <c r="I13" s="176" t="s">
        <v>106</v>
      </c>
      <c r="J13" s="177" t="s">
        <v>107</v>
      </c>
      <c r="K13" s="177" t="s">
        <v>108</v>
      </c>
      <c r="L13" s="177" t="s">
        <v>158</v>
      </c>
      <c r="M13" s="177" t="s">
        <v>155</v>
      </c>
      <c r="N13" s="177" t="s">
        <v>156</v>
      </c>
      <c r="O13" s="176" t="s">
        <v>110</v>
      </c>
      <c r="P13" s="176" t="s">
        <v>111</v>
      </c>
      <c r="Q13" s="176" t="s">
        <v>112</v>
      </c>
      <c r="R13" s="61"/>
      <c r="S13" s="61"/>
      <c r="T13" s="35"/>
    </row>
    <row r="14" spans="1:27" s="18" customFormat="1" ht="15.75" x14ac:dyDescent="0.25">
      <c r="B14" s="299">
        <v>1</v>
      </c>
      <c r="C14" s="301" t="str">
        <f>IF('Instream-HabRate'!J27="","",'Instream-HabRate'!J27)</f>
        <v/>
      </c>
      <c r="D14" s="302" t="str">
        <f>IF('Instream-HabRate'!D27="","",'Instream-HabRate'!D27)</f>
        <v/>
      </c>
      <c r="E14" s="302" t="str">
        <f>IF('Instream-HabRate'!E27="","",'Instream-HabRate'!E27)</f>
        <v/>
      </c>
      <c r="F14" s="302" t="str">
        <f>IF('Instream-HabRate'!F27="","",'Instream-HabRate'!F27)</f>
        <v/>
      </c>
      <c r="G14" s="301" t="str">
        <f>IF('Instream-HabRate'!K27="","",IF($D14="","",'Instream-HabRate'!K27))</f>
        <v/>
      </c>
      <c r="H14" s="301" t="str">
        <f>IF('Instream-HabRate'!L27="","",IF($D14="","",'Instream-HabRate'!L27))</f>
        <v/>
      </c>
      <c r="I14" s="301" t="str">
        <f>IF('Instream-HabRate'!M27="","",IF($D14="","",'Instream-HabRate'!M27))</f>
        <v/>
      </c>
      <c r="J14" s="299" t="str">
        <f>IF('Instream-HabRate'!N27="","",IF($E14="","",'Instream-HabRate'!N27))</f>
        <v/>
      </c>
      <c r="K14" s="299" t="str">
        <f>IF('Instream-HabRate'!O27="","",IF($E14="","",'Instream-HabRate'!O27))</f>
        <v/>
      </c>
      <c r="L14" s="299" t="str">
        <f>IF('Instream-HabRate'!P27="","",IF($E14="","",'Instream-HabRate'!P27))</f>
        <v/>
      </c>
      <c r="M14" s="299" t="str">
        <f>IF('Instream-HabRate'!Q27="","",IF($E14="","",'Instream-HabRate'!Q27))</f>
        <v/>
      </c>
      <c r="N14" s="299" t="str">
        <f>IF('Instream-HabRate'!R27="","",IF($E14="","",'Instream-HabRate'!R27))</f>
        <v/>
      </c>
      <c r="O14" s="301" t="str">
        <f>IF('Instream-HabRate'!S27="","",IF($F14="","",'Instream-HabRate'!S27))</f>
        <v/>
      </c>
      <c r="P14" s="301" t="str">
        <f>IF('Instream-HabRate'!T27="","",IF($F14="","",'Instream-HabRate'!T27))</f>
        <v/>
      </c>
      <c r="Q14" s="301" t="str">
        <f>IF('Instream-HabRate'!U27="","",IF($F14="","",'Instream-HabRate'!U27))</f>
        <v/>
      </c>
      <c r="R14" s="55"/>
    </row>
    <row r="15" spans="1:27" s="18" customFormat="1" ht="15.75" x14ac:dyDescent="0.25">
      <c r="B15" s="299">
        <v>2</v>
      </c>
      <c r="C15" s="301" t="str">
        <f>IF('Instream-HabRate'!J28="","",'Instream-HabRate'!J28)</f>
        <v/>
      </c>
      <c r="D15" s="302" t="str">
        <f>IF('Instream-HabRate'!D28="","",'Instream-HabRate'!D28)</f>
        <v/>
      </c>
      <c r="E15" s="302" t="str">
        <f>IF('Instream-HabRate'!E28="","",'Instream-HabRate'!E28)</f>
        <v/>
      </c>
      <c r="F15" s="302" t="str">
        <f>IF('Instream-HabRate'!F28="","",'Instream-HabRate'!F28)</f>
        <v/>
      </c>
      <c r="G15" s="301" t="str">
        <f>IF('Instream-HabRate'!K28="","",IF($D15="","",'Instream-HabRate'!K28))</f>
        <v/>
      </c>
      <c r="H15" s="301" t="str">
        <f>IF('Instream-HabRate'!L28="","",IF($D15="","",'Instream-HabRate'!L28))</f>
        <v/>
      </c>
      <c r="I15" s="301" t="str">
        <f>IF('Instream-HabRate'!M28="","",IF($D15="","",'Instream-HabRate'!M28))</f>
        <v/>
      </c>
      <c r="J15" s="299" t="str">
        <f>IF('Instream-HabRate'!N28="","",IF($E15="","",'Instream-HabRate'!N28))</f>
        <v/>
      </c>
      <c r="K15" s="299" t="str">
        <f>IF('Instream-HabRate'!O28="","",IF($E15="","",'Instream-HabRate'!O28))</f>
        <v/>
      </c>
      <c r="L15" s="299" t="str">
        <f>IF('Instream-HabRate'!P28="","",IF($E15="","",'Instream-HabRate'!P28))</f>
        <v/>
      </c>
      <c r="M15" s="299" t="str">
        <f>IF('Instream-HabRate'!Q28="","",IF($E15="","",'Instream-HabRate'!Q28))</f>
        <v/>
      </c>
      <c r="N15" s="299" t="str">
        <f>IF('Instream-HabRate'!R28="","",IF($E15="","",'Instream-HabRate'!R28))</f>
        <v/>
      </c>
      <c r="O15" s="301" t="str">
        <f>IF('Instream-HabRate'!S28="","",IF($F15="","",'Instream-HabRate'!S28))</f>
        <v/>
      </c>
      <c r="P15" s="301" t="str">
        <f>IF('Instream-HabRate'!T28="","",IF($F15="","",'Instream-HabRate'!T28))</f>
        <v/>
      </c>
      <c r="Q15" s="301" t="str">
        <f>IF('Instream-HabRate'!U28="","",IF($F15="","",'Instream-HabRate'!U28))</f>
        <v/>
      </c>
      <c r="R15" s="55"/>
    </row>
    <row r="16" spans="1:27" s="18" customFormat="1" ht="15.75" x14ac:dyDescent="0.25">
      <c r="B16" s="299">
        <v>3</v>
      </c>
      <c r="C16" s="301" t="str">
        <f>IF('Instream-HabRate'!J29="","",'Instream-HabRate'!J29)</f>
        <v/>
      </c>
      <c r="D16" s="302" t="str">
        <f>IF('Instream-HabRate'!D29="","",'Instream-HabRate'!D29)</f>
        <v/>
      </c>
      <c r="E16" s="302" t="str">
        <f>IF('Instream-HabRate'!E29="","",'Instream-HabRate'!E29)</f>
        <v/>
      </c>
      <c r="F16" s="302" t="str">
        <f>IF('Instream-HabRate'!F29="","",'Instream-HabRate'!F29)</f>
        <v/>
      </c>
      <c r="G16" s="301" t="str">
        <f>IF('Instream-HabRate'!K29="","",IF($D16="","",'Instream-HabRate'!K29))</f>
        <v/>
      </c>
      <c r="H16" s="301" t="str">
        <f>IF('Instream-HabRate'!L29="","",IF($D16="","",'Instream-HabRate'!L29))</f>
        <v/>
      </c>
      <c r="I16" s="301" t="str">
        <f>IF('Instream-HabRate'!M29="","",IF($D16="","",'Instream-HabRate'!M29))</f>
        <v/>
      </c>
      <c r="J16" s="299" t="str">
        <f>IF('Instream-HabRate'!N29="","",IF($E16="","",'Instream-HabRate'!N29))</f>
        <v/>
      </c>
      <c r="K16" s="299" t="str">
        <f>IF('Instream-HabRate'!O29="","",IF($E16="","",'Instream-HabRate'!O29))</f>
        <v/>
      </c>
      <c r="L16" s="299" t="str">
        <f>IF('Instream-HabRate'!P29="","",IF($E16="","",'Instream-HabRate'!P29))</f>
        <v/>
      </c>
      <c r="M16" s="299" t="str">
        <f>IF('Instream-HabRate'!Q29="","",IF($E16="","",'Instream-HabRate'!Q29))</f>
        <v/>
      </c>
      <c r="N16" s="299" t="str">
        <f>IF('Instream-HabRate'!R29="","",IF($E16="","",'Instream-HabRate'!R29))</f>
        <v/>
      </c>
      <c r="O16" s="301" t="str">
        <f>IF('Instream-HabRate'!S29="","",IF($F16="","",'Instream-HabRate'!S29))</f>
        <v/>
      </c>
      <c r="P16" s="301" t="str">
        <f>IF('Instream-HabRate'!T29="","",IF($F16="","",'Instream-HabRate'!T29))</f>
        <v/>
      </c>
      <c r="Q16" s="301" t="str">
        <f>IF('Instream-HabRate'!U29="","",IF($F16="","",'Instream-HabRate'!U29))</f>
        <v/>
      </c>
      <c r="R16" s="55"/>
    </row>
    <row r="17" spans="2:20" s="18" customFormat="1" ht="15.75" x14ac:dyDescent="0.25">
      <c r="B17" s="299">
        <v>4</v>
      </c>
      <c r="C17" s="301" t="str">
        <f>IF('Instream-HabRate'!J30="","",'Instream-HabRate'!J30)</f>
        <v/>
      </c>
      <c r="D17" s="302" t="str">
        <f>IF('Instream-HabRate'!D30="","",'Instream-HabRate'!D30)</f>
        <v/>
      </c>
      <c r="E17" s="302" t="str">
        <f>IF('Instream-HabRate'!E30="","",'Instream-HabRate'!E30)</f>
        <v/>
      </c>
      <c r="F17" s="302" t="str">
        <f>IF('Instream-HabRate'!F30="","",'Instream-HabRate'!F30)</f>
        <v/>
      </c>
      <c r="G17" s="301" t="str">
        <f>IF('Instream-HabRate'!K30="","",IF($D17="","",'Instream-HabRate'!K30))</f>
        <v/>
      </c>
      <c r="H17" s="301" t="str">
        <f>IF('Instream-HabRate'!L30="","",IF($D17="","",'Instream-HabRate'!L30))</f>
        <v/>
      </c>
      <c r="I17" s="301" t="str">
        <f>IF('Instream-HabRate'!M30="","",IF($D17="","",'Instream-HabRate'!M30))</f>
        <v/>
      </c>
      <c r="J17" s="299" t="str">
        <f>IF('Instream-HabRate'!N30="","",IF($E17="","",'Instream-HabRate'!N30))</f>
        <v/>
      </c>
      <c r="K17" s="299" t="str">
        <f>IF('Instream-HabRate'!O30="","",IF($E17="","",'Instream-HabRate'!O30))</f>
        <v/>
      </c>
      <c r="L17" s="299" t="str">
        <f>IF('Instream-HabRate'!P30="","",IF($E17="","",'Instream-HabRate'!P30))</f>
        <v/>
      </c>
      <c r="M17" s="299" t="str">
        <f>IF('Instream-HabRate'!Q30="","",IF($E17="","",'Instream-HabRate'!Q30))</f>
        <v/>
      </c>
      <c r="N17" s="299" t="str">
        <f>IF('Instream-HabRate'!R30="","",IF($E17="","",'Instream-HabRate'!R30))</f>
        <v/>
      </c>
      <c r="O17" s="301" t="str">
        <f>IF('Instream-HabRate'!S30="","",IF($F17="","",'Instream-HabRate'!S30))</f>
        <v/>
      </c>
      <c r="P17" s="301" t="str">
        <f>IF('Instream-HabRate'!T30="","",IF($F17="","",'Instream-HabRate'!T30))</f>
        <v/>
      </c>
      <c r="Q17" s="301" t="str">
        <f>IF('Instream-HabRate'!U30="","",IF($F17="","",'Instream-HabRate'!U30))</f>
        <v/>
      </c>
      <c r="R17" s="55"/>
      <c r="S17" s="55"/>
      <c r="T17" s="35"/>
    </row>
    <row r="18" spans="2:20" s="18" customFormat="1" ht="15.75" x14ac:dyDescent="0.25">
      <c r="B18" s="299">
        <v>5</v>
      </c>
      <c r="C18" s="301" t="str">
        <f>IF('Instream-HabRate'!J31="","",'Instream-HabRate'!J31)</f>
        <v/>
      </c>
      <c r="D18" s="302" t="str">
        <f>IF('Instream-HabRate'!D31="","",'Instream-HabRate'!D31)</f>
        <v/>
      </c>
      <c r="E18" s="302" t="str">
        <f>IF('Instream-HabRate'!E31="","",'Instream-HabRate'!E31)</f>
        <v/>
      </c>
      <c r="F18" s="302" t="str">
        <f>IF('Instream-HabRate'!F31="","",'Instream-HabRate'!F31)</f>
        <v/>
      </c>
      <c r="G18" s="301" t="str">
        <f>IF('Instream-HabRate'!K31="","",IF($D18="","",'Instream-HabRate'!K31))</f>
        <v/>
      </c>
      <c r="H18" s="301" t="str">
        <f>IF('Instream-HabRate'!L31="","",IF($D18="","",'Instream-HabRate'!L31))</f>
        <v/>
      </c>
      <c r="I18" s="301" t="str">
        <f>IF('Instream-HabRate'!M31="","",IF($D18="","",'Instream-HabRate'!M31))</f>
        <v/>
      </c>
      <c r="J18" s="299" t="str">
        <f>IF('Instream-HabRate'!N31="","",IF($E18="","",'Instream-HabRate'!N31))</f>
        <v/>
      </c>
      <c r="K18" s="299" t="str">
        <f>IF('Instream-HabRate'!O31="","",IF($E18="","",'Instream-HabRate'!O31))</f>
        <v/>
      </c>
      <c r="L18" s="299" t="str">
        <f>IF('Instream-HabRate'!P31="","",IF($E18="","",'Instream-HabRate'!P31))</f>
        <v/>
      </c>
      <c r="M18" s="299" t="str">
        <f>IF('Instream-HabRate'!Q31="","",IF($E18="","",'Instream-HabRate'!Q31))</f>
        <v/>
      </c>
      <c r="N18" s="299" t="str">
        <f>IF('Instream-HabRate'!R31="","",IF($E18="","",'Instream-HabRate'!R31))</f>
        <v/>
      </c>
      <c r="O18" s="301" t="str">
        <f>IF('Instream-HabRate'!S31="","",IF($F18="","",'Instream-HabRate'!S31))</f>
        <v/>
      </c>
      <c r="P18" s="301" t="str">
        <f>IF('Instream-HabRate'!T31="","",IF($F18="","",'Instream-HabRate'!T31))</f>
        <v/>
      </c>
      <c r="Q18" s="301" t="str">
        <f>IF('Instream-HabRate'!U31="","",IF($F18="","",'Instream-HabRate'!U31))</f>
        <v/>
      </c>
      <c r="R18" s="55"/>
      <c r="S18" s="55"/>
      <c r="T18" s="35"/>
    </row>
    <row r="19" spans="2:20" s="18" customFormat="1" ht="15.75" x14ac:dyDescent="0.25">
      <c r="B19" s="299">
        <v>6</v>
      </c>
      <c r="C19" s="301" t="str">
        <f>IF('Instream-HabRate'!J32="","",'Instream-HabRate'!J32)</f>
        <v/>
      </c>
      <c r="D19" s="302" t="str">
        <f>IF('Instream-HabRate'!D32="","",'Instream-HabRate'!D32)</f>
        <v/>
      </c>
      <c r="E19" s="302" t="str">
        <f>IF('Instream-HabRate'!E32="","",'Instream-HabRate'!E32)</f>
        <v/>
      </c>
      <c r="F19" s="302" t="str">
        <f>IF('Instream-HabRate'!F32="","",'Instream-HabRate'!F32)</f>
        <v/>
      </c>
      <c r="G19" s="301" t="str">
        <f>IF('Instream-HabRate'!K32="","",IF($D19="","",'Instream-HabRate'!K32))</f>
        <v/>
      </c>
      <c r="H19" s="301" t="str">
        <f>IF('Instream-HabRate'!L32="","",IF($D19="","",'Instream-HabRate'!L32))</f>
        <v/>
      </c>
      <c r="I19" s="301" t="str">
        <f>IF('Instream-HabRate'!M32="","",IF($D19="","",'Instream-HabRate'!M32))</f>
        <v/>
      </c>
      <c r="J19" s="299" t="str">
        <f>IF('Instream-HabRate'!N32="","",IF($E19="","",'Instream-HabRate'!N32))</f>
        <v/>
      </c>
      <c r="K19" s="299" t="str">
        <f>IF('Instream-HabRate'!O32="","",IF($E19="","",'Instream-HabRate'!O32))</f>
        <v/>
      </c>
      <c r="L19" s="299" t="str">
        <f>IF('Instream-HabRate'!P32="","",IF($E19="","",'Instream-HabRate'!P32))</f>
        <v/>
      </c>
      <c r="M19" s="299" t="str">
        <f>IF('Instream-HabRate'!Q32="","",IF($E19="","",'Instream-HabRate'!Q32))</f>
        <v/>
      </c>
      <c r="N19" s="299" t="str">
        <f>IF('Instream-HabRate'!R32="","",IF($E19="","",'Instream-HabRate'!R32))</f>
        <v/>
      </c>
      <c r="O19" s="301" t="str">
        <f>IF('Instream-HabRate'!S32="","",IF($F19="","",'Instream-HabRate'!S32))</f>
        <v/>
      </c>
      <c r="P19" s="301" t="str">
        <f>IF('Instream-HabRate'!T32="","",IF($F19="","",'Instream-HabRate'!T32))</f>
        <v/>
      </c>
      <c r="Q19" s="301" t="str">
        <f>IF('Instream-HabRate'!U32="","",IF($F19="","",'Instream-HabRate'!U32))</f>
        <v/>
      </c>
      <c r="R19" s="55"/>
    </row>
    <row r="20" spans="2:20" s="18" customFormat="1" ht="15.75" x14ac:dyDescent="0.25">
      <c r="B20" s="299">
        <v>7</v>
      </c>
      <c r="C20" s="301" t="str">
        <f>IF('Instream-HabRate'!J33="","",'Instream-HabRate'!J33)</f>
        <v/>
      </c>
      <c r="D20" s="302" t="str">
        <f>IF('Instream-HabRate'!D33="","",'Instream-HabRate'!D33)</f>
        <v/>
      </c>
      <c r="E20" s="302" t="str">
        <f>IF('Instream-HabRate'!E33="","",'Instream-HabRate'!E33)</f>
        <v/>
      </c>
      <c r="F20" s="302" t="str">
        <f>IF('Instream-HabRate'!F33="","",'Instream-HabRate'!F33)</f>
        <v/>
      </c>
      <c r="G20" s="301" t="str">
        <f>IF('Instream-HabRate'!K33="","",IF($D20="","",'Instream-HabRate'!K33))</f>
        <v/>
      </c>
      <c r="H20" s="301" t="str">
        <f>IF('Instream-HabRate'!L33="","",IF($D20="","",'Instream-HabRate'!L33))</f>
        <v/>
      </c>
      <c r="I20" s="301" t="str">
        <f>IF('Instream-HabRate'!M33="","",IF($D20="","",'Instream-HabRate'!M33))</f>
        <v/>
      </c>
      <c r="J20" s="299" t="str">
        <f>IF('Instream-HabRate'!N33="","",IF($E20="","",'Instream-HabRate'!N33))</f>
        <v/>
      </c>
      <c r="K20" s="299" t="str">
        <f>IF('Instream-HabRate'!O33="","",IF($E20="","",'Instream-HabRate'!O33))</f>
        <v/>
      </c>
      <c r="L20" s="299" t="str">
        <f>IF('Instream-HabRate'!P33="","",IF($E20="","",'Instream-HabRate'!P33))</f>
        <v/>
      </c>
      <c r="M20" s="299" t="str">
        <f>IF('Instream-HabRate'!Q33="","",IF($E20="","",'Instream-HabRate'!Q33))</f>
        <v/>
      </c>
      <c r="N20" s="299" t="str">
        <f>IF('Instream-HabRate'!R33="","",IF($E20="","",'Instream-HabRate'!R33))</f>
        <v/>
      </c>
      <c r="O20" s="301" t="str">
        <f>IF('Instream-HabRate'!S33="","",IF($F20="","",'Instream-HabRate'!S33))</f>
        <v/>
      </c>
      <c r="P20" s="301" t="str">
        <f>IF('Instream-HabRate'!T33="","",IF($F20="","",'Instream-HabRate'!T33))</f>
        <v/>
      </c>
      <c r="Q20" s="301" t="str">
        <f>IF('Instream-HabRate'!U33="","",IF($F20="","",'Instream-HabRate'!U33))</f>
        <v/>
      </c>
      <c r="R20" s="55"/>
    </row>
    <row r="21" spans="2:20" s="18" customFormat="1" ht="15.75" x14ac:dyDescent="0.25">
      <c r="B21" s="299">
        <v>8</v>
      </c>
      <c r="C21" s="301" t="str">
        <f>IF('Instream-HabRate'!J34="","",'Instream-HabRate'!J34)</f>
        <v/>
      </c>
      <c r="D21" s="302" t="str">
        <f>IF('Instream-HabRate'!D34="","",'Instream-HabRate'!D34)</f>
        <v/>
      </c>
      <c r="E21" s="302" t="str">
        <f>IF('Instream-HabRate'!E34="","",'Instream-HabRate'!E34)</f>
        <v/>
      </c>
      <c r="F21" s="302" t="str">
        <f>IF('Instream-HabRate'!F34="","",'Instream-HabRate'!F34)</f>
        <v/>
      </c>
      <c r="G21" s="301" t="str">
        <f>IF('Instream-HabRate'!K34="","",IF($D21="","",'Instream-HabRate'!K34))</f>
        <v/>
      </c>
      <c r="H21" s="301" t="str">
        <f>IF('Instream-HabRate'!L34="","",IF($D21="","",'Instream-HabRate'!L34))</f>
        <v/>
      </c>
      <c r="I21" s="301" t="str">
        <f>IF('Instream-HabRate'!M34="","",IF($D21="","",'Instream-HabRate'!M34))</f>
        <v/>
      </c>
      <c r="J21" s="299" t="str">
        <f>IF('Instream-HabRate'!N34="","",IF($E21="","",'Instream-HabRate'!N34))</f>
        <v/>
      </c>
      <c r="K21" s="299" t="str">
        <f>IF('Instream-HabRate'!O34="","",IF($E21="","",'Instream-HabRate'!O34))</f>
        <v/>
      </c>
      <c r="L21" s="299" t="str">
        <f>IF('Instream-HabRate'!P34="","",IF($E21="","",'Instream-HabRate'!P34))</f>
        <v/>
      </c>
      <c r="M21" s="299" t="str">
        <f>IF('Instream-HabRate'!Q34="","",IF($E21="","",'Instream-HabRate'!Q34))</f>
        <v/>
      </c>
      <c r="N21" s="299" t="str">
        <f>IF('Instream-HabRate'!R34="","",IF($E21="","",'Instream-HabRate'!R34))</f>
        <v/>
      </c>
      <c r="O21" s="301" t="str">
        <f>IF('Instream-HabRate'!S34="","",IF($F21="","",'Instream-HabRate'!S34))</f>
        <v/>
      </c>
      <c r="P21" s="301" t="str">
        <f>IF('Instream-HabRate'!T34="","",IF($F21="","",'Instream-HabRate'!T34))</f>
        <v/>
      </c>
      <c r="Q21" s="301" t="str">
        <f>IF('Instream-HabRate'!U34="","",IF($F21="","",'Instream-HabRate'!U34))</f>
        <v/>
      </c>
      <c r="R21" s="55"/>
    </row>
    <row r="22" spans="2:20" s="18" customFormat="1" ht="15.75" x14ac:dyDescent="0.25">
      <c r="B22" s="299">
        <v>9</v>
      </c>
      <c r="C22" s="301" t="str">
        <f>IF('Instream-HabRate'!J35="","",'Instream-HabRate'!J35)</f>
        <v/>
      </c>
      <c r="D22" s="302" t="str">
        <f>IF('Instream-HabRate'!D35="","",'Instream-HabRate'!D35)</f>
        <v/>
      </c>
      <c r="E22" s="302" t="str">
        <f>IF('Instream-HabRate'!E35="","",'Instream-HabRate'!E35)</f>
        <v/>
      </c>
      <c r="F22" s="302" t="str">
        <f>IF('Instream-HabRate'!F35="","",'Instream-HabRate'!F35)</f>
        <v/>
      </c>
      <c r="G22" s="301" t="str">
        <f>IF('Instream-HabRate'!K35="","",IF($D22="","",'Instream-HabRate'!K35))</f>
        <v/>
      </c>
      <c r="H22" s="301" t="str">
        <f>IF('Instream-HabRate'!L35="","",IF($D22="","",'Instream-HabRate'!L35))</f>
        <v/>
      </c>
      <c r="I22" s="301" t="str">
        <f>IF('Instream-HabRate'!M35="","",IF($D22="","",'Instream-HabRate'!M35))</f>
        <v/>
      </c>
      <c r="J22" s="299" t="str">
        <f>IF('Instream-HabRate'!N35="","",IF($E22="","",'Instream-HabRate'!N35))</f>
        <v/>
      </c>
      <c r="K22" s="299" t="str">
        <f>IF('Instream-HabRate'!O35="","",IF($E22="","",'Instream-HabRate'!O35))</f>
        <v/>
      </c>
      <c r="L22" s="299" t="str">
        <f>IF('Instream-HabRate'!P35="","",IF($E22="","",'Instream-HabRate'!P35))</f>
        <v/>
      </c>
      <c r="M22" s="299" t="str">
        <f>IF('Instream-HabRate'!Q35="","",IF($E22="","",'Instream-HabRate'!Q35))</f>
        <v/>
      </c>
      <c r="N22" s="299" t="str">
        <f>IF('Instream-HabRate'!R35="","",IF($E22="","",'Instream-HabRate'!R35))</f>
        <v/>
      </c>
      <c r="O22" s="301" t="str">
        <f>IF('Instream-HabRate'!S35="","",IF($F22="","",'Instream-HabRate'!S35))</f>
        <v/>
      </c>
      <c r="P22" s="301" t="str">
        <f>IF('Instream-HabRate'!T35="","",IF($F22="","",'Instream-HabRate'!T35))</f>
        <v/>
      </c>
      <c r="Q22" s="301" t="str">
        <f>IF('Instream-HabRate'!U35="","",IF($F22="","",'Instream-HabRate'!U35))</f>
        <v/>
      </c>
      <c r="R22" s="55"/>
      <c r="S22" s="55"/>
      <c r="T22" s="35"/>
    </row>
    <row r="23" spans="2:20" s="18" customFormat="1" ht="15.75" x14ac:dyDescent="0.25">
      <c r="B23" s="299">
        <v>10</v>
      </c>
      <c r="C23" s="301" t="str">
        <f>IF('Instream-HabRate'!J36="","",'Instream-HabRate'!J36)</f>
        <v/>
      </c>
      <c r="D23" s="302" t="str">
        <f>IF('Instream-HabRate'!D36="","",'Instream-HabRate'!D36)</f>
        <v/>
      </c>
      <c r="E23" s="302" t="str">
        <f>IF('Instream-HabRate'!E36="","",'Instream-HabRate'!E36)</f>
        <v/>
      </c>
      <c r="F23" s="302" t="str">
        <f>IF('Instream-HabRate'!F36="","",'Instream-HabRate'!F36)</f>
        <v/>
      </c>
      <c r="G23" s="301" t="str">
        <f>IF('Instream-HabRate'!K36="","",IF($D23="","",'Instream-HabRate'!K36))</f>
        <v/>
      </c>
      <c r="H23" s="301" t="str">
        <f>IF('Instream-HabRate'!L36="","",IF($D23="","",'Instream-HabRate'!L36))</f>
        <v/>
      </c>
      <c r="I23" s="301" t="str">
        <f>IF('Instream-HabRate'!M36="","",IF($D23="","",'Instream-HabRate'!M36))</f>
        <v/>
      </c>
      <c r="J23" s="299" t="str">
        <f>IF('Instream-HabRate'!N36="","",IF($E23="","",'Instream-HabRate'!N36))</f>
        <v/>
      </c>
      <c r="K23" s="299" t="str">
        <f>IF('Instream-HabRate'!O36="","",IF($E23="","",'Instream-HabRate'!O36))</f>
        <v/>
      </c>
      <c r="L23" s="299" t="str">
        <f>IF('Instream-HabRate'!P36="","",IF($E23="","",'Instream-HabRate'!P36))</f>
        <v/>
      </c>
      <c r="M23" s="299" t="str">
        <f>IF('Instream-HabRate'!Q36="","",IF($E23="","",'Instream-HabRate'!Q36))</f>
        <v/>
      </c>
      <c r="N23" s="299" t="str">
        <f>IF('Instream-HabRate'!R36="","",IF($E23="","",'Instream-HabRate'!R36))</f>
        <v/>
      </c>
      <c r="O23" s="301" t="str">
        <f>IF('Instream-HabRate'!S36="","",IF($F23="","",'Instream-HabRate'!S36))</f>
        <v/>
      </c>
      <c r="P23" s="301" t="str">
        <f>IF('Instream-HabRate'!T36="","",IF($F23="","",'Instream-HabRate'!T36))</f>
        <v/>
      </c>
      <c r="Q23" s="301" t="str">
        <f>IF('Instream-HabRate'!U36="","",IF($F23="","",'Instream-HabRate'!U36))</f>
        <v/>
      </c>
      <c r="R23" s="55"/>
      <c r="S23" s="55"/>
      <c r="T23" s="35"/>
    </row>
    <row r="24" spans="2:20" s="18" customFormat="1" ht="15.75" x14ac:dyDescent="0.25">
      <c r="B24" s="299">
        <v>11</v>
      </c>
      <c r="C24" s="301" t="str">
        <f>IF('Instream-HabRate'!J37="","",'Instream-HabRate'!J37)</f>
        <v/>
      </c>
      <c r="D24" s="302" t="str">
        <f>IF('Instream-HabRate'!D37="","",'Instream-HabRate'!D37)</f>
        <v/>
      </c>
      <c r="E24" s="302" t="str">
        <f>IF('Instream-HabRate'!E37="","",'Instream-HabRate'!E37)</f>
        <v/>
      </c>
      <c r="F24" s="302" t="str">
        <f>IF('Instream-HabRate'!F37="","",'Instream-HabRate'!F37)</f>
        <v/>
      </c>
      <c r="G24" s="301" t="str">
        <f>IF('Instream-HabRate'!K37="","",IF($D24="","",'Instream-HabRate'!K37))</f>
        <v/>
      </c>
      <c r="H24" s="301" t="str">
        <f>IF('Instream-HabRate'!L37="","",IF($D24="","",'Instream-HabRate'!L37))</f>
        <v/>
      </c>
      <c r="I24" s="301" t="str">
        <f>IF('Instream-HabRate'!M37="","",IF($D24="","",'Instream-HabRate'!M37))</f>
        <v/>
      </c>
      <c r="J24" s="299" t="str">
        <f>IF('Instream-HabRate'!N37="","",IF($E24="","",'Instream-HabRate'!N37))</f>
        <v/>
      </c>
      <c r="K24" s="299" t="str">
        <f>IF('Instream-HabRate'!O37="","",IF($E24="","",'Instream-HabRate'!O37))</f>
        <v/>
      </c>
      <c r="L24" s="299" t="str">
        <f>IF('Instream-HabRate'!P37="","",IF($E24="","",'Instream-HabRate'!P37))</f>
        <v/>
      </c>
      <c r="M24" s="299" t="str">
        <f>IF('Instream-HabRate'!Q37="","",IF($E24="","",'Instream-HabRate'!Q37))</f>
        <v/>
      </c>
      <c r="N24" s="299" t="str">
        <f>IF('Instream-HabRate'!R37="","",IF($E24="","",'Instream-HabRate'!R37))</f>
        <v/>
      </c>
      <c r="O24" s="301" t="str">
        <f>IF('Instream-HabRate'!S37="","",IF($F24="","",'Instream-HabRate'!S37))</f>
        <v/>
      </c>
      <c r="P24" s="301" t="str">
        <f>IF('Instream-HabRate'!T37="","",IF($F24="","",'Instream-HabRate'!T37))</f>
        <v/>
      </c>
      <c r="Q24" s="301" t="str">
        <f>IF('Instream-HabRate'!U37="","",IF($F24="","",'Instream-HabRate'!U37))</f>
        <v/>
      </c>
      <c r="R24" s="55"/>
    </row>
    <row r="25" spans="2:20" s="18" customFormat="1" ht="15.75" x14ac:dyDescent="0.25">
      <c r="B25" s="299">
        <v>12</v>
      </c>
      <c r="C25" s="301" t="str">
        <f>IF('Instream-HabRate'!J38="","",'Instream-HabRate'!J38)</f>
        <v/>
      </c>
      <c r="D25" s="302" t="str">
        <f>IF('Instream-HabRate'!D38="","",'Instream-HabRate'!D38)</f>
        <v/>
      </c>
      <c r="E25" s="302" t="str">
        <f>IF('Instream-HabRate'!E38="","",'Instream-HabRate'!E38)</f>
        <v/>
      </c>
      <c r="F25" s="302" t="str">
        <f>IF('Instream-HabRate'!F38="","",'Instream-HabRate'!F38)</f>
        <v/>
      </c>
      <c r="G25" s="301" t="str">
        <f>IF('Instream-HabRate'!K38="","",IF($D25="","",'Instream-HabRate'!K38))</f>
        <v/>
      </c>
      <c r="H25" s="301" t="str">
        <f>IF('Instream-HabRate'!L38="","",IF($D25="","",'Instream-HabRate'!L38))</f>
        <v/>
      </c>
      <c r="I25" s="301" t="str">
        <f>IF('Instream-HabRate'!M38="","",IF($D25="","",'Instream-HabRate'!M38))</f>
        <v/>
      </c>
      <c r="J25" s="299" t="str">
        <f>IF('Instream-HabRate'!N38="","",IF($E25="","",'Instream-HabRate'!N38))</f>
        <v/>
      </c>
      <c r="K25" s="299" t="str">
        <f>IF('Instream-HabRate'!O38="","",IF($E25="","",'Instream-HabRate'!O38))</f>
        <v/>
      </c>
      <c r="L25" s="299" t="str">
        <f>IF('Instream-HabRate'!P38="","",IF($E25="","",'Instream-HabRate'!P38))</f>
        <v/>
      </c>
      <c r="M25" s="299" t="str">
        <f>IF('Instream-HabRate'!Q38="","",IF($E25="","",'Instream-HabRate'!Q38))</f>
        <v/>
      </c>
      <c r="N25" s="299" t="str">
        <f>IF('Instream-HabRate'!R38="","",IF($E25="","",'Instream-HabRate'!R38))</f>
        <v/>
      </c>
      <c r="O25" s="301" t="str">
        <f>IF('Instream-HabRate'!S38="","",IF($F25="","",'Instream-HabRate'!S38))</f>
        <v/>
      </c>
      <c r="P25" s="301" t="str">
        <f>IF('Instream-HabRate'!T38="","",IF($F25="","",'Instream-HabRate'!T38))</f>
        <v/>
      </c>
      <c r="Q25" s="301" t="str">
        <f>IF('Instream-HabRate'!U38="","",IF($F25="","",'Instream-HabRate'!U38))</f>
        <v/>
      </c>
      <c r="R25" s="55"/>
    </row>
    <row r="26" spans="2:20" s="18" customFormat="1" ht="15.75" x14ac:dyDescent="0.25">
      <c r="B26" s="299">
        <v>13</v>
      </c>
      <c r="C26" s="301" t="str">
        <f>IF('Instream-HabRate'!J39="","",'Instream-HabRate'!J39)</f>
        <v/>
      </c>
      <c r="D26" s="302" t="str">
        <f>IF('Instream-HabRate'!D39="","",'Instream-HabRate'!D39)</f>
        <v/>
      </c>
      <c r="E26" s="302" t="str">
        <f>IF('Instream-HabRate'!E39="","",'Instream-HabRate'!E39)</f>
        <v/>
      </c>
      <c r="F26" s="302" t="str">
        <f>IF('Instream-HabRate'!F39="","",'Instream-HabRate'!F39)</f>
        <v/>
      </c>
      <c r="G26" s="301" t="str">
        <f>IF('Instream-HabRate'!K39="","",IF($D26="","",'Instream-HabRate'!K39))</f>
        <v/>
      </c>
      <c r="H26" s="301" t="str">
        <f>IF('Instream-HabRate'!L39="","",IF($D26="","",'Instream-HabRate'!L39))</f>
        <v/>
      </c>
      <c r="I26" s="301" t="str">
        <f>IF('Instream-HabRate'!M39="","",IF($D26="","",'Instream-HabRate'!M39))</f>
        <v/>
      </c>
      <c r="J26" s="299" t="str">
        <f>IF('Instream-HabRate'!N39="","",IF($E26="","",'Instream-HabRate'!N39))</f>
        <v/>
      </c>
      <c r="K26" s="299" t="str">
        <f>IF('Instream-HabRate'!O39="","",IF($E26="","",'Instream-HabRate'!O39))</f>
        <v/>
      </c>
      <c r="L26" s="299" t="str">
        <f>IF('Instream-HabRate'!P39="","",IF($E26="","",'Instream-HabRate'!P39))</f>
        <v/>
      </c>
      <c r="M26" s="299" t="str">
        <f>IF('Instream-HabRate'!Q39="","",IF($E26="","",'Instream-HabRate'!Q39))</f>
        <v/>
      </c>
      <c r="N26" s="299" t="str">
        <f>IF('Instream-HabRate'!R39="","",IF($E26="","",'Instream-HabRate'!R39))</f>
        <v/>
      </c>
      <c r="O26" s="301" t="str">
        <f>IF('Instream-HabRate'!S39="","",IF($F26="","",'Instream-HabRate'!S39))</f>
        <v/>
      </c>
      <c r="P26" s="301" t="str">
        <f>IF('Instream-HabRate'!T39="","",IF($F26="","",'Instream-HabRate'!T39))</f>
        <v/>
      </c>
      <c r="Q26" s="301" t="str">
        <f>IF('Instream-HabRate'!U39="","",IF($F26="","",'Instream-HabRate'!U39))</f>
        <v/>
      </c>
      <c r="R26" s="55"/>
    </row>
    <row r="27" spans="2:20" s="18" customFormat="1" ht="15.75" x14ac:dyDescent="0.25">
      <c r="B27" s="299">
        <v>14</v>
      </c>
      <c r="C27" s="301" t="str">
        <f>IF('Instream-HabRate'!J40="","",'Instream-HabRate'!J40)</f>
        <v/>
      </c>
      <c r="D27" s="302" t="str">
        <f>IF('Instream-HabRate'!D40="","",'Instream-HabRate'!D40)</f>
        <v/>
      </c>
      <c r="E27" s="302" t="str">
        <f>IF('Instream-HabRate'!E40="","",'Instream-HabRate'!E40)</f>
        <v/>
      </c>
      <c r="F27" s="302" t="str">
        <f>IF('Instream-HabRate'!F40="","",'Instream-HabRate'!F40)</f>
        <v/>
      </c>
      <c r="G27" s="301" t="str">
        <f>IF('Instream-HabRate'!K40="","",IF($D27="","",'Instream-HabRate'!K40))</f>
        <v/>
      </c>
      <c r="H27" s="301" t="str">
        <f>IF('Instream-HabRate'!L40="","",IF($D27="","",'Instream-HabRate'!L40))</f>
        <v/>
      </c>
      <c r="I27" s="301" t="str">
        <f>IF('Instream-HabRate'!M40="","",IF($D27="","",'Instream-HabRate'!M40))</f>
        <v/>
      </c>
      <c r="J27" s="299" t="str">
        <f>IF('Instream-HabRate'!N40="","",IF($E27="","",'Instream-HabRate'!N40))</f>
        <v/>
      </c>
      <c r="K27" s="299" t="str">
        <f>IF('Instream-HabRate'!O40="","",IF($E27="","",'Instream-HabRate'!O40))</f>
        <v/>
      </c>
      <c r="L27" s="299" t="str">
        <f>IF('Instream-HabRate'!P40="","",IF($E27="","",'Instream-HabRate'!P40))</f>
        <v/>
      </c>
      <c r="M27" s="299" t="str">
        <f>IF('Instream-HabRate'!Q40="","",IF($E27="","",'Instream-HabRate'!Q40))</f>
        <v/>
      </c>
      <c r="N27" s="299" t="str">
        <f>IF('Instream-HabRate'!R40="","",IF($E27="","",'Instream-HabRate'!R40))</f>
        <v/>
      </c>
      <c r="O27" s="301" t="str">
        <f>IF('Instream-HabRate'!S40="","",IF($F27="","",'Instream-HabRate'!S40))</f>
        <v/>
      </c>
      <c r="P27" s="301" t="str">
        <f>IF('Instream-HabRate'!T40="","",IF($F27="","",'Instream-HabRate'!T40))</f>
        <v/>
      </c>
      <c r="Q27" s="301" t="str">
        <f>IF('Instream-HabRate'!U40="","",IF($F27="","",'Instream-HabRate'!U40))</f>
        <v/>
      </c>
      <c r="R27" s="55"/>
      <c r="S27" s="55"/>
      <c r="T27" s="35"/>
    </row>
    <row r="28" spans="2:20" s="18" customFormat="1" ht="15.75" x14ac:dyDescent="0.25">
      <c r="B28" s="299">
        <v>15</v>
      </c>
      <c r="C28" s="301" t="str">
        <f>IF('Instream-HabRate'!J41="","",'Instream-HabRate'!J41)</f>
        <v/>
      </c>
      <c r="D28" s="302" t="str">
        <f>IF('Instream-HabRate'!D41="","",'Instream-HabRate'!D41)</f>
        <v/>
      </c>
      <c r="E28" s="302" t="str">
        <f>IF('Instream-HabRate'!E41="","",'Instream-HabRate'!E41)</f>
        <v/>
      </c>
      <c r="F28" s="302" t="str">
        <f>IF('Instream-HabRate'!F41="","",'Instream-HabRate'!F41)</f>
        <v/>
      </c>
      <c r="G28" s="301" t="str">
        <f>IF('Instream-HabRate'!K41="","",IF($D28="","",'Instream-HabRate'!K41))</f>
        <v/>
      </c>
      <c r="H28" s="301" t="str">
        <f>IF('Instream-HabRate'!L41="","",IF($D28="","",'Instream-HabRate'!L41))</f>
        <v/>
      </c>
      <c r="I28" s="301" t="str">
        <f>IF('Instream-HabRate'!M41="","",IF($D28="","",'Instream-HabRate'!M41))</f>
        <v/>
      </c>
      <c r="J28" s="299" t="str">
        <f>IF('Instream-HabRate'!N41="","",IF($E28="","",'Instream-HabRate'!N41))</f>
        <v/>
      </c>
      <c r="K28" s="299" t="str">
        <f>IF('Instream-HabRate'!O41="","",IF($E28="","",'Instream-HabRate'!O41))</f>
        <v/>
      </c>
      <c r="L28" s="299" t="str">
        <f>IF('Instream-HabRate'!P41="","",IF($E28="","",'Instream-HabRate'!P41))</f>
        <v/>
      </c>
      <c r="M28" s="299" t="str">
        <f>IF('Instream-HabRate'!Q41="","",IF($E28="","",'Instream-HabRate'!Q41))</f>
        <v/>
      </c>
      <c r="N28" s="299" t="str">
        <f>IF('Instream-HabRate'!R41="","",IF($E28="","",'Instream-HabRate'!R41))</f>
        <v/>
      </c>
      <c r="O28" s="301" t="str">
        <f>IF('Instream-HabRate'!S41="","",IF($F28="","",'Instream-HabRate'!S41))</f>
        <v/>
      </c>
      <c r="P28" s="301" t="str">
        <f>IF('Instream-HabRate'!T41="","",IF($F28="","",'Instream-HabRate'!T41))</f>
        <v/>
      </c>
      <c r="Q28" s="301" t="str">
        <f>IF('Instream-HabRate'!U41="","",IF($F28="","",'Instream-HabRate'!U41))</f>
        <v/>
      </c>
      <c r="R28" s="55"/>
      <c r="S28" s="55"/>
      <c r="T28" s="35"/>
    </row>
    <row r="29" spans="2:20" s="18" customFormat="1" ht="15.75" x14ac:dyDescent="0.25">
      <c r="B29" s="299">
        <v>16</v>
      </c>
      <c r="C29" s="301" t="str">
        <f>IF('Instream-HabRate'!J42="","",'Instream-HabRate'!J42)</f>
        <v/>
      </c>
      <c r="D29" s="302" t="str">
        <f>IF('Instream-HabRate'!D42="","",'Instream-HabRate'!D42)</f>
        <v/>
      </c>
      <c r="E29" s="302" t="str">
        <f>IF('Instream-HabRate'!E42="","",'Instream-HabRate'!E42)</f>
        <v/>
      </c>
      <c r="F29" s="302" t="str">
        <f>IF('Instream-HabRate'!F42="","",'Instream-HabRate'!F42)</f>
        <v/>
      </c>
      <c r="G29" s="301" t="str">
        <f>IF('Instream-HabRate'!K42="","",IF($D29="","",'Instream-HabRate'!K42))</f>
        <v/>
      </c>
      <c r="H29" s="301" t="str">
        <f>IF('Instream-HabRate'!L42="","",IF($D29="","",'Instream-HabRate'!L42))</f>
        <v/>
      </c>
      <c r="I29" s="301" t="str">
        <f>IF('Instream-HabRate'!M42="","",IF($D29="","",'Instream-HabRate'!M42))</f>
        <v/>
      </c>
      <c r="J29" s="299" t="str">
        <f>IF('Instream-HabRate'!N42="","",IF($E29="","",'Instream-HabRate'!N42))</f>
        <v/>
      </c>
      <c r="K29" s="299" t="str">
        <f>IF('Instream-HabRate'!O42="","",IF($E29="","",'Instream-HabRate'!O42))</f>
        <v/>
      </c>
      <c r="L29" s="299" t="str">
        <f>IF('Instream-HabRate'!P42="","",IF($E29="","",'Instream-HabRate'!P42))</f>
        <v/>
      </c>
      <c r="M29" s="299" t="str">
        <f>IF('Instream-HabRate'!Q42="","",IF($E29="","",'Instream-HabRate'!Q42))</f>
        <v/>
      </c>
      <c r="N29" s="299" t="str">
        <f>IF('Instream-HabRate'!R42="","",IF($E29="","",'Instream-HabRate'!R42))</f>
        <v/>
      </c>
      <c r="O29" s="301" t="str">
        <f>IF('Instream-HabRate'!S42="","",IF($F29="","",'Instream-HabRate'!S42))</f>
        <v/>
      </c>
      <c r="P29" s="301" t="str">
        <f>IF('Instream-HabRate'!T42="","",IF($F29="","",'Instream-HabRate'!T42))</f>
        <v/>
      </c>
      <c r="Q29" s="301" t="str">
        <f>IF('Instream-HabRate'!U42="","",IF($F29="","",'Instream-HabRate'!U42))</f>
        <v/>
      </c>
      <c r="R29" s="55"/>
    </row>
    <row r="30" spans="2:20" s="18" customFormat="1" ht="15.75" x14ac:dyDescent="0.25">
      <c r="B30" s="299">
        <v>17</v>
      </c>
      <c r="C30" s="301" t="str">
        <f>IF('Instream-HabRate'!J43="","",'Instream-HabRate'!J43)</f>
        <v/>
      </c>
      <c r="D30" s="302" t="str">
        <f>IF('Instream-HabRate'!D43="","",'Instream-HabRate'!D43)</f>
        <v/>
      </c>
      <c r="E30" s="302" t="str">
        <f>IF('Instream-HabRate'!E43="","",'Instream-HabRate'!E43)</f>
        <v/>
      </c>
      <c r="F30" s="302" t="str">
        <f>IF('Instream-HabRate'!F43="","",'Instream-HabRate'!F43)</f>
        <v/>
      </c>
      <c r="G30" s="301" t="str">
        <f>IF('Instream-HabRate'!K43="","",IF($D30="","",'Instream-HabRate'!K43))</f>
        <v/>
      </c>
      <c r="H30" s="301" t="str">
        <f>IF('Instream-HabRate'!L43="","",IF($D30="","",'Instream-HabRate'!L43))</f>
        <v/>
      </c>
      <c r="I30" s="301" t="str">
        <f>IF('Instream-HabRate'!M43="","",IF($D30="","",'Instream-HabRate'!M43))</f>
        <v/>
      </c>
      <c r="J30" s="299" t="str">
        <f>IF('Instream-HabRate'!N43="","",IF($E30="","",'Instream-HabRate'!N43))</f>
        <v/>
      </c>
      <c r="K30" s="299" t="str">
        <f>IF('Instream-HabRate'!O43="","",IF($E30="","",'Instream-HabRate'!O43))</f>
        <v/>
      </c>
      <c r="L30" s="299" t="str">
        <f>IF('Instream-HabRate'!P43="","",IF($E30="","",'Instream-HabRate'!P43))</f>
        <v/>
      </c>
      <c r="M30" s="299" t="str">
        <f>IF('Instream-HabRate'!Q43="","",IF($E30="","",'Instream-HabRate'!Q43))</f>
        <v/>
      </c>
      <c r="N30" s="299" t="str">
        <f>IF('Instream-HabRate'!R43="","",IF($E30="","",'Instream-HabRate'!R43))</f>
        <v/>
      </c>
      <c r="O30" s="301" t="str">
        <f>IF('Instream-HabRate'!S43="","",IF($F30="","",'Instream-HabRate'!S43))</f>
        <v/>
      </c>
      <c r="P30" s="301" t="str">
        <f>IF('Instream-HabRate'!T43="","",IF($F30="","",'Instream-HabRate'!T43))</f>
        <v/>
      </c>
      <c r="Q30" s="301" t="str">
        <f>IF('Instream-HabRate'!U43="","",IF($F30="","",'Instream-HabRate'!U43))</f>
        <v/>
      </c>
      <c r="R30" s="55"/>
    </row>
    <row r="31" spans="2:20" s="18" customFormat="1" ht="15.75" x14ac:dyDescent="0.25">
      <c r="B31" s="299">
        <v>18</v>
      </c>
      <c r="C31" s="301" t="str">
        <f>IF('Instream-HabRate'!J44="","",'Instream-HabRate'!J44)</f>
        <v/>
      </c>
      <c r="D31" s="302" t="str">
        <f>IF('Instream-HabRate'!D44="","",'Instream-HabRate'!D44)</f>
        <v/>
      </c>
      <c r="E31" s="302" t="str">
        <f>IF('Instream-HabRate'!E44="","",'Instream-HabRate'!E44)</f>
        <v/>
      </c>
      <c r="F31" s="302" t="str">
        <f>IF('Instream-HabRate'!F44="","",'Instream-HabRate'!F44)</f>
        <v/>
      </c>
      <c r="G31" s="301" t="str">
        <f>IF('Instream-HabRate'!K44="","",IF($D31="","",'Instream-HabRate'!K44))</f>
        <v/>
      </c>
      <c r="H31" s="301" t="str">
        <f>IF('Instream-HabRate'!L44="","",IF($D31="","",'Instream-HabRate'!L44))</f>
        <v/>
      </c>
      <c r="I31" s="301" t="str">
        <f>IF('Instream-HabRate'!M44="","",IF($D31="","",'Instream-HabRate'!M44))</f>
        <v/>
      </c>
      <c r="J31" s="299" t="str">
        <f>IF('Instream-HabRate'!N44="","",IF($E31="","",'Instream-HabRate'!N44))</f>
        <v/>
      </c>
      <c r="K31" s="299" t="str">
        <f>IF('Instream-HabRate'!O44="","",IF($E31="","",'Instream-HabRate'!O44))</f>
        <v/>
      </c>
      <c r="L31" s="299" t="str">
        <f>IF('Instream-HabRate'!P44="","",IF($E31="","",'Instream-HabRate'!P44))</f>
        <v/>
      </c>
      <c r="M31" s="299" t="str">
        <f>IF('Instream-HabRate'!Q44="","",IF($E31="","",'Instream-HabRate'!Q44))</f>
        <v/>
      </c>
      <c r="N31" s="299" t="str">
        <f>IF('Instream-HabRate'!R44="","",IF($E31="","",'Instream-HabRate'!R44))</f>
        <v/>
      </c>
      <c r="O31" s="301" t="str">
        <f>IF('Instream-HabRate'!S44="","",IF($F31="","",'Instream-HabRate'!S44))</f>
        <v/>
      </c>
      <c r="P31" s="301" t="str">
        <f>IF('Instream-HabRate'!T44="","",IF($F31="","",'Instream-HabRate'!T44))</f>
        <v/>
      </c>
      <c r="Q31" s="301" t="str">
        <f>IF('Instream-HabRate'!U44="","",IF($F31="","",'Instream-HabRate'!U44))</f>
        <v/>
      </c>
      <c r="R31" s="55"/>
    </row>
    <row r="32" spans="2:20" s="18" customFormat="1" ht="15.75" x14ac:dyDescent="0.25">
      <c r="B32" s="299">
        <v>19</v>
      </c>
      <c r="C32" s="301" t="str">
        <f>IF('Instream-HabRate'!J45="","",'Instream-HabRate'!J45)</f>
        <v/>
      </c>
      <c r="D32" s="302" t="str">
        <f>IF('Instream-HabRate'!D45="","",'Instream-HabRate'!D45)</f>
        <v/>
      </c>
      <c r="E32" s="302" t="str">
        <f>IF('Instream-HabRate'!E45="","",'Instream-HabRate'!E45)</f>
        <v/>
      </c>
      <c r="F32" s="302" t="str">
        <f>IF('Instream-HabRate'!F45="","",'Instream-HabRate'!F45)</f>
        <v/>
      </c>
      <c r="G32" s="301" t="str">
        <f>IF('Instream-HabRate'!K45="","",IF($D32="","",'Instream-HabRate'!K45))</f>
        <v/>
      </c>
      <c r="H32" s="301" t="str">
        <f>IF('Instream-HabRate'!L45="","",IF($D32="","",'Instream-HabRate'!L45))</f>
        <v/>
      </c>
      <c r="I32" s="301" t="str">
        <f>IF('Instream-HabRate'!M45="","",IF($D32="","",'Instream-HabRate'!M45))</f>
        <v/>
      </c>
      <c r="J32" s="299" t="str">
        <f>IF('Instream-HabRate'!N45="","",IF($E32="","",'Instream-HabRate'!N45))</f>
        <v/>
      </c>
      <c r="K32" s="299" t="str">
        <f>IF('Instream-HabRate'!O45="","",IF($E32="","",'Instream-HabRate'!O45))</f>
        <v/>
      </c>
      <c r="L32" s="299" t="str">
        <f>IF('Instream-HabRate'!P45="","",IF($E32="","",'Instream-HabRate'!P45))</f>
        <v/>
      </c>
      <c r="M32" s="299" t="str">
        <f>IF('Instream-HabRate'!Q45="","",IF($E32="","",'Instream-HabRate'!Q45))</f>
        <v/>
      </c>
      <c r="N32" s="299" t="str">
        <f>IF('Instream-HabRate'!R45="","",IF($E32="","",'Instream-HabRate'!R45))</f>
        <v/>
      </c>
      <c r="O32" s="301" t="str">
        <f>IF('Instream-HabRate'!S45="","",IF($F32="","",'Instream-HabRate'!S45))</f>
        <v/>
      </c>
      <c r="P32" s="301" t="str">
        <f>IF('Instream-HabRate'!T45="","",IF($F32="","",'Instream-HabRate'!T45))</f>
        <v/>
      </c>
      <c r="Q32" s="301" t="str">
        <f>IF('Instream-HabRate'!U45="","",IF($F32="","",'Instream-HabRate'!U45))</f>
        <v/>
      </c>
      <c r="R32" s="55"/>
      <c r="S32" s="55"/>
      <c r="T32" s="35"/>
    </row>
    <row r="33" spans="2:22" s="18" customFormat="1" ht="15.75" x14ac:dyDescent="0.25">
      <c r="B33" s="299">
        <v>20</v>
      </c>
      <c r="C33" s="301" t="str">
        <f>IF('Instream-HabRate'!J46="","",'Instream-HabRate'!J46)</f>
        <v/>
      </c>
      <c r="D33" s="302" t="str">
        <f>IF('Instream-HabRate'!D46="","",'Instream-HabRate'!D46)</f>
        <v/>
      </c>
      <c r="E33" s="302" t="str">
        <f>IF('Instream-HabRate'!E46="","",'Instream-HabRate'!E46)</f>
        <v/>
      </c>
      <c r="F33" s="302" t="str">
        <f>IF('Instream-HabRate'!F46="","",'Instream-HabRate'!F46)</f>
        <v/>
      </c>
      <c r="G33" s="301" t="str">
        <f>IF('Instream-HabRate'!K46="","",IF($D33="","",'Instream-HabRate'!K46))</f>
        <v/>
      </c>
      <c r="H33" s="301" t="str">
        <f>IF('Instream-HabRate'!L46="","",IF($D33="","",'Instream-HabRate'!L46))</f>
        <v/>
      </c>
      <c r="I33" s="301" t="str">
        <f>IF('Instream-HabRate'!M46="","",IF($D33="","",'Instream-HabRate'!M46))</f>
        <v/>
      </c>
      <c r="J33" s="299" t="str">
        <f>IF('Instream-HabRate'!N46="","",IF($E33="","",'Instream-HabRate'!N46))</f>
        <v/>
      </c>
      <c r="K33" s="299" t="str">
        <f>IF('Instream-HabRate'!O46="","",IF($E33="","",'Instream-HabRate'!O46))</f>
        <v/>
      </c>
      <c r="L33" s="299" t="str">
        <f>IF('Instream-HabRate'!P46="","",IF($E33="","",'Instream-HabRate'!P46))</f>
        <v/>
      </c>
      <c r="M33" s="299" t="str">
        <f>IF('Instream-HabRate'!Q46="","",IF($E33="","",'Instream-HabRate'!Q46))</f>
        <v/>
      </c>
      <c r="N33" s="299" t="str">
        <f>IF('Instream-HabRate'!R46="","",IF($E33="","",'Instream-HabRate'!R46))</f>
        <v/>
      </c>
      <c r="O33" s="301" t="str">
        <f>IF('Instream-HabRate'!S46="","",IF($F33="","",'Instream-HabRate'!S46))</f>
        <v/>
      </c>
      <c r="P33" s="301" t="str">
        <f>IF('Instream-HabRate'!T46="","",IF($F33="","",'Instream-HabRate'!T46))</f>
        <v/>
      </c>
      <c r="Q33" s="301" t="str">
        <f>IF('Instream-HabRate'!U46="","",IF($F33="","",'Instream-HabRate'!U46))</f>
        <v/>
      </c>
      <c r="R33" s="55"/>
    </row>
    <row r="34" spans="2:22" s="18" customFormat="1" ht="15.75" x14ac:dyDescent="0.25">
      <c r="B34" s="299">
        <v>21</v>
      </c>
      <c r="C34" s="301" t="str">
        <f>IF('Instream-HabRate'!J47="","",'Instream-HabRate'!J47)</f>
        <v/>
      </c>
      <c r="D34" s="302" t="str">
        <f>IF('Instream-HabRate'!D47="","",'Instream-HabRate'!D47)</f>
        <v/>
      </c>
      <c r="E34" s="302" t="str">
        <f>IF('Instream-HabRate'!E47="","",'Instream-HabRate'!E47)</f>
        <v/>
      </c>
      <c r="F34" s="302" t="str">
        <f>IF('Instream-HabRate'!F47="","",'Instream-HabRate'!F47)</f>
        <v/>
      </c>
      <c r="G34" s="301" t="str">
        <f>IF('Instream-HabRate'!K47="","",IF($D34="","",'Instream-HabRate'!K47))</f>
        <v/>
      </c>
      <c r="H34" s="301" t="str">
        <f>IF('Instream-HabRate'!L47="","",IF($D34="","",'Instream-HabRate'!L47))</f>
        <v/>
      </c>
      <c r="I34" s="301" t="str">
        <f>IF('Instream-HabRate'!M47="","",IF($D34="","",'Instream-HabRate'!M47))</f>
        <v/>
      </c>
      <c r="J34" s="299" t="str">
        <f>IF('Instream-HabRate'!N47="","",IF($E34="","",'Instream-HabRate'!N47))</f>
        <v/>
      </c>
      <c r="K34" s="299" t="str">
        <f>IF('Instream-HabRate'!O47="","",IF($E34="","",'Instream-HabRate'!O47))</f>
        <v/>
      </c>
      <c r="L34" s="299" t="str">
        <f>IF('Instream-HabRate'!P47="","",IF($E34="","",'Instream-HabRate'!P47))</f>
        <v/>
      </c>
      <c r="M34" s="299" t="str">
        <f>IF('Instream-HabRate'!Q47="","",IF($E34="","",'Instream-HabRate'!Q47))</f>
        <v/>
      </c>
      <c r="N34" s="299" t="str">
        <f>IF('Instream-HabRate'!R47="","",IF($E34="","",'Instream-HabRate'!R47))</f>
        <v/>
      </c>
      <c r="O34" s="301" t="str">
        <f>IF('Instream-HabRate'!S47="","",IF($F34="","",'Instream-HabRate'!S47))</f>
        <v/>
      </c>
      <c r="P34" s="301" t="str">
        <f>IF('Instream-HabRate'!T47="","",IF($F34="","",'Instream-HabRate'!T47))</f>
        <v/>
      </c>
      <c r="Q34" s="301" t="str">
        <f>IF('Instream-HabRate'!U47="","",IF($F34="","",'Instream-HabRate'!U47))</f>
        <v/>
      </c>
      <c r="R34" s="55"/>
    </row>
    <row r="35" spans="2:22" s="18" customFormat="1" ht="15.75" x14ac:dyDescent="0.25">
      <c r="B35" s="299">
        <v>22</v>
      </c>
      <c r="C35" s="301" t="str">
        <f>IF('Instream-HabRate'!J48="","",'Instream-HabRate'!J48)</f>
        <v/>
      </c>
      <c r="D35" s="302" t="str">
        <f>IF('Instream-HabRate'!D48="","",'Instream-HabRate'!D48)</f>
        <v/>
      </c>
      <c r="E35" s="302" t="str">
        <f>IF('Instream-HabRate'!E48="","",'Instream-HabRate'!E48)</f>
        <v/>
      </c>
      <c r="F35" s="302" t="str">
        <f>IF('Instream-HabRate'!F48="","",'Instream-HabRate'!F48)</f>
        <v/>
      </c>
      <c r="G35" s="301" t="str">
        <f>IF('Instream-HabRate'!K48="","",IF($D35="","",'Instream-HabRate'!K48))</f>
        <v/>
      </c>
      <c r="H35" s="301" t="str">
        <f>IF('Instream-HabRate'!L48="","",IF($D35="","",'Instream-HabRate'!L48))</f>
        <v/>
      </c>
      <c r="I35" s="301" t="str">
        <f>IF('Instream-HabRate'!M48="","",IF($D35="","",'Instream-HabRate'!M48))</f>
        <v/>
      </c>
      <c r="J35" s="299" t="str">
        <f>IF('Instream-HabRate'!N48="","",IF($E35="","",'Instream-HabRate'!N48))</f>
        <v/>
      </c>
      <c r="K35" s="299" t="str">
        <f>IF('Instream-HabRate'!O48="","",IF($E35="","",'Instream-HabRate'!O48))</f>
        <v/>
      </c>
      <c r="L35" s="299" t="str">
        <f>IF('Instream-HabRate'!P48="","",IF($E35="","",'Instream-HabRate'!P48))</f>
        <v/>
      </c>
      <c r="M35" s="299" t="str">
        <f>IF('Instream-HabRate'!Q48="","",IF($E35="","",'Instream-HabRate'!Q48))</f>
        <v/>
      </c>
      <c r="N35" s="299" t="str">
        <f>IF('Instream-HabRate'!R48="","",IF($E35="","",'Instream-HabRate'!R48))</f>
        <v/>
      </c>
      <c r="O35" s="301" t="str">
        <f>IF('Instream-HabRate'!S48="","",IF($F35="","",'Instream-HabRate'!S48))</f>
        <v/>
      </c>
      <c r="P35" s="301" t="str">
        <f>IF('Instream-HabRate'!T48="","",IF($F35="","",'Instream-HabRate'!T48))</f>
        <v/>
      </c>
      <c r="Q35" s="301" t="str">
        <f>IF('Instream-HabRate'!U48="","",IF($F35="","",'Instream-HabRate'!U48))</f>
        <v/>
      </c>
      <c r="R35" s="55"/>
    </row>
    <row r="36" spans="2:22" s="18" customFormat="1" ht="15.75" x14ac:dyDescent="0.25">
      <c r="B36" s="299">
        <v>23</v>
      </c>
      <c r="C36" s="301" t="str">
        <f>IF('Instream-HabRate'!J49="","",'Instream-HabRate'!J49)</f>
        <v/>
      </c>
      <c r="D36" s="302" t="str">
        <f>IF('Instream-HabRate'!D49="","",'Instream-HabRate'!D49)</f>
        <v/>
      </c>
      <c r="E36" s="302" t="str">
        <f>IF('Instream-HabRate'!E49="","",'Instream-HabRate'!E49)</f>
        <v/>
      </c>
      <c r="F36" s="302" t="str">
        <f>IF('Instream-HabRate'!F49="","",'Instream-HabRate'!F49)</f>
        <v/>
      </c>
      <c r="G36" s="301" t="str">
        <f>IF('Instream-HabRate'!K49="","",IF($D36="","",'Instream-HabRate'!K49))</f>
        <v/>
      </c>
      <c r="H36" s="301" t="str">
        <f>IF('Instream-HabRate'!L49="","",IF($D36="","",'Instream-HabRate'!L49))</f>
        <v/>
      </c>
      <c r="I36" s="301" t="str">
        <f>IF('Instream-HabRate'!M49="","",IF($D36="","",'Instream-HabRate'!M49))</f>
        <v/>
      </c>
      <c r="J36" s="299" t="str">
        <f>IF('Instream-HabRate'!N49="","",IF($E36="","",'Instream-HabRate'!N49))</f>
        <v/>
      </c>
      <c r="K36" s="299" t="str">
        <f>IF('Instream-HabRate'!O49="","",IF($E36="","",'Instream-HabRate'!O49))</f>
        <v/>
      </c>
      <c r="L36" s="299" t="str">
        <f>IF('Instream-HabRate'!P49="","",IF($E36="","",'Instream-HabRate'!P49))</f>
        <v/>
      </c>
      <c r="M36" s="299" t="str">
        <f>IF('Instream-HabRate'!Q49="","",IF($E36="","",'Instream-HabRate'!Q49))</f>
        <v/>
      </c>
      <c r="N36" s="299" t="str">
        <f>IF('Instream-HabRate'!R49="","",IF($E36="","",'Instream-HabRate'!R49))</f>
        <v/>
      </c>
      <c r="O36" s="301" t="str">
        <f>IF('Instream-HabRate'!S49="","",IF($F36="","",'Instream-HabRate'!S49))</f>
        <v/>
      </c>
      <c r="P36" s="301" t="str">
        <f>IF('Instream-HabRate'!T49="","",IF($F36="","",'Instream-HabRate'!T49))</f>
        <v/>
      </c>
      <c r="Q36" s="301" t="str">
        <f>IF('Instream-HabRate'!U49="","",IF($F36="","",'Instream-HabRate'!U49))</f>
        <v/>
      </c>
      <c r="R36" s="55"/>
      <c r="S36" s="55"/>
      <c r="T36" s="35"/>
    </row>
    <row r="37" spans="2:22" s="18" customFormat="1" ht="15.75" x14ac:dyDescent="0.25">
      <c r="B37" s="299">
        <v>24</v>
      </c>
      <c r="C37" s="301" t="str">
        <f>IF('Instream-HabRate'!J50="","",'Instream-HabRate'!J50)</f>
        <v/>
      </c>
      <c r="D37" s="302" t="str">
        <f>IF('Instream-HabRate'!D50="","",'Instream-HabRate'!D50)</f>
        <v/>
      </c>
      <c r="E37" s="302" t="str">
        <f>IF('Instream-HabRate'!E50="","",'Instream-HabRate'!E50)</f>
        <v/>
      </c>
      <c r="F37" s="302" t="str">
        <f>IF('Instream-HabRate'!F50="","",'Instream-HabRate'!F50)</f>
        <v/>
      </c>
      <c r="G37" s="301" t="str">
        <f>IF('Instream-HabRate'!K50="","",IF($D37="","",'Instream-HabRate'!K50))</f>
        <v/>
      </c>
      <c r="H37" s="301" t="str">
        <f>IF('Instream-HabRate'!L50="","",IF($D37="","",'Instream-HabRate'!L50))</f>
        <v/>
      </c>
      <c r="I37" s="301" t="str">
        <f>IF('Instream-HabRate'!M50="","",IF($D37="","",'Instream-HabRate'!M50))</f>
        <v/>
      </c>
      <c r="J37" s="299" t="str">
        <f>IF('Instream-HabRate'!N50="","",IF($E37="","",'Instream-HabRate'!N50))</f>
        <v/>
      </c>
      <c r="K37" s="299" t="str">
        <f>IF('Instream-HabRate'!O50="","",IF($E37="","",'Instream-HabRate'!O50))</f>
        <v/>
      </c>
      <c r="L37" s="299" t="str">
        <f>IF('Instream-HabRate'!P50="","",IF($E37="","",'Instream-HabRate'!P50))</f>
        <v/>
      </c>
      <c r="M37" s="299" t="str">
        <f>IF('Instream-HabRate'!Q50="","",IF($E37="","",'Instream-HabRate'!Q50))</f>
        <v/>
      </c>
      <c r="N37" s="299" t="str">
        <f>IF('Instream-HabRate'!R50="","",IF($E37="","",'Instream-HabRate'!R50))</f>
        <v/>
      </c>
      <c r="O37" s="301" t="str">
        <f>IF('Instream-HabRate'!S50="","",IF($F37="","",'Instream-HabRate'!S50))</f>
        <v/>
      </c>
      <c r="P37" s="301" t="str">
        <f>IF('Instream-HabRate'!T50="","",IF($F37="","",'Instream-HabRate'!T50))</f>
        <v/>
      </c>
      <c r="Q37" s="301" t="str">
        <f>IF('Instream-HabRate'!U50="","",IF($F37="","",'Instream-HabRate'!U50))</f>
        <v/>
      </c>
      <c r="R37" s="55"/>
      <c r="S37" s="55"/>
      <c r="T37" s="35"/>
    </row>
    <row r="38" spans="2:22" s="18" customFormat="1" ht="15.75" x14ac:dyDescent="0.25">
      <c r="B38" s="299">
        <v>25</v>
      </c>
      <c r="C38" s="301" t="str">
        <f>IF('Instream-HabRate'!J51="","",'Instream-HabRate'!J51)</f>
        <v/>
      </c>
      <c r="D38" s="302" t="str">
        <f>IF('Instream-HabRate'!D51="","",'Instream-HabRate'!D51)</f>
        <v/>
      </c>
      <c r="E38" s="302" t="str">
        <f>IF('Instream-HabRate'!E51="","",'Instream-HabRate'!E51)</f>
        <v/>
      </c>
      <c r="F38" s="302" t="str">
        <f>IF('Instream-HabRate'!F51="","",'Instream-HabRate'!F51)</f>
        <v/>
      </c>
      <c r="G38" s="301" t="str">
        <f>IF('Instream-HabRate'!K51="","",IF($D38="","",'Instream-HabRate'!K51))</f>
        <v/>
      </c>
      <c r="H38" s="301" t="str">
        <f>IF('Instream-HabRate'!L51="","",IF($D38="","",'Instream-HabRate'!L51))</f>
        <v/>
      </c>
      <c r="I38" s="301" t="str">
        <f>IF('Instream-HabRate'!M51="","",IF($D38="","",'Instream-HabRate'!M51))</f>
        <v/>
      </c>
      <c r="J38" s="299" t="str">
        <f>IF('Instream-HabRate'!N51="","",IF($E38="","",'Instream-HabRate'!N51))</f>
        <v/>
      </c>
      <c r="K38" s="299" t="str">
        <f>IF('Instream-HabRate'!O51="","",IF($E38="","",'Instream-HabRate'!O51))</f>
        <v/>
      </c>
      <c r="L38" s="299" t="str">
        <f>IF('Instream-HabRate'!P51="","",IF($E38="","",'Instream-HabRate'!P51))</f>
        <v/>
      </c>
      <c r="M38" s="299" t="str">
        <f>IF('Instream-HabRate'!Q51="","",IF($E38="","",'Instream-HabRate'!Q51))</f>
        <v/>
      </c>
      <c r="N38" s="299" t="str">
        <f>IF('Instream-HabRate'!R51="","",IF($E38="","",'Instream-HabRate'!R51))</f>
        <v/>
      </c>
      <c r="O38" s="301" t="str">
        <f>IF('Instream-HabRate'!S51="","",IF($F38="","",'Instream-HabRate'!S51))</f>
        <v/>
      </c>
      <c r="P38" s="301" t="str">
        <f>IF('Instream-HabRate'!T51="","",IF($F38="","",'Instream-HabRate'!T51))</f>
        <v/>
      </c>
      <c r="Q38" s="301" t="str">
        <f>IF('Instream-HabRate'!U51="","",IF($F38="","",'Instream-HabRate'!U51))</f>
        <v/>
      </c>
      <c r="R38" s="55"/>
      <c r="S38" s="55"/>
      <c r="T38" s="35"/>
    </row>
    <row r="39" spans="2:22" x14ac:dyDescent="0.25">
      <c r="N39" s="18"/>
      <c r="P39"/>
      <c r="V39" s="54"/>
    </row>
    <row r="40" spans="2:22" s="70" customFormat="1" x14ac:dyDescent="0.25">
      <c r="M40" s="182"/>
      <c r="N40" s="182"/>
      <c r="O40" s="18"/>
      <c r="P40" s="18"/>
      <c r="Q40" s="18"/>
      <c r="R40" s="18"/>
      <c r="S40" s="18"/>
      <c r="T40" s="18"/>
      <c r="U40" s="18"/>
      <c r="V40" s="71"/>
    </row>
    <row r="41" spans="2:22" s="18" customFormat="1" ht="20.100000000000001" customHeight="1" x14ac:dyDescent="0.25">
      <c r="B41" s="522" t="s">
        <v>385</v>
      </c>
      <c r="C41" s="522"/>
      <c r="D41" s="522"/>
      <c r="E41" s="522"/>
      <c r="F41" s="522"/>
      <c r="G41" s="522"/>
      <c r="H41" s="522"/>
      <c r="I41" s="522"/>
      <c r="J41" s="522"/>
      <c r="K41" s="522"/>
      <c r="L41" s="522"/>
      <c r="M41" s="133"/>
      <c r="N41" s="35"/>
      <c r="O41" s="32"/>
      <c r="P41" s="32"/>
      <c r="Q41" s="32"/>
      <c r="R41" s="32"/>
      <c r="V41" s="54"/>
    </row>
    <row r="42" spans="2:22" ht="36.75" customHeight="1" x14ac:dyDescent="0.25">
      <c r="B42" s="493" t="s">
        <v>177</v>
      </c>
      <c r="C42" s="493"/>
      <c r="D42" s="493"/>
      <c r="E42" s="493"/>
      <c r="F42" s="493"/>
      <c r="G42" s="493"/>
      <c r="H42" s="493"/>
      <c r="I42" s="493"/>
      <c r="J42" s="493"/>
      <c r="K42" s="493"/>
      <c r="L42" s="493"/>
      <c r="M42" s="183"/>
      <c r="N42" s="35"/>
      <c r="O42" s="32"/>
      <c r="P42" s="55"/>
      <c r="Q42" s="35"/>
      <c r="R42" s="32"/>
      <c r="S42" s="18"/>
      <c r="T42" s="18"/>
      <c r="U42" s="18"/>
      <c r="V42" s="54"/>
    </row>
    <row r="43" spans="2:22" s="18" customFormat="1" ht="18" x14ac:dyDescent="0.25">
      <c r="B43" s="208" t="s">
        <v>103</v>
      </c>
      <c r="C43" s="208" t="s">
        <v>254</v>
      </c>
      <c r="D43" s="209" t="s">
        <v>104</v>
      </c>
      <c r="E43" s="209" t="s">
        <v>105</v>
      </c>
      <c r="F43" s="209" t="s">
        <v>106</v>
      </c>
      <c r="G43" s="208" t="s">
        <v>107</v>
      </c>
      <c r="H43" s="208" t="s">
        <v>269</v>
      </c>
      <c r="I43" s="208" t="s">
        <v>270</v>
      </c>
      <c r="J43" s="209" t="s">
        <v>110</v>
      </c>
      <c r="K43" s="209" t="s">
        <v>111</v>
      </c>
      <c r="L43" s="210" t="s">
        <v>112</v>
      </c>
      <c r="M43" s="55"/>
      <c r="N43" s="55"/>
      <c r="O43" s="32"/>
      <c r="P43" s="55"/>
      <c r="Q43" s="69"/>
      <c r="R43" s="32"/>
      <c r="V43" s="54"/>
    </row>
    <row r="44" spans="2:22" s="18" customFormat="1" ht="15.75" x14ac:dyDescent="0.25">
      <c r="B44" s="303">
        <v>1</v>
      </c>
      <c r="C44" s="303" t="str">
        <f>$C14</f>
        <v/>
      </c>
      <c r="D44" s="304" t="str">
        <f t="shared" ref="D44:D68" si="0">IF(OR(G14="",Nearstream="",Landscape=""),"",((G14*Instream_Weight+Nearstream*Nearstream_Weight+Landscape*Landscape_Weight)/(Instream_Weight+Nearstream_Weight+Landscape_Weight)))</f>
        <v/>
      </c>
      <c r="E44" s="304" t="str">
        <f t="shared" ref="E44:E68" si="1">IF(OR(H14="",Nearstream="",Landscape=""),"",((H14*Instream_Weight+Nearstream*Nearstream_Weight+Landscape*Landscape_Weight)/(Instream_Weight+Nearstream_Weight+Landscape_Weight)))</f>
        <v/>
      </c>
      <c r="F44" s="304" t="str">
        <f t="shared" ref="F44:F68" si="2">IF(OR(I14="",Nearstream="",Landscape=""),"",((I14*Instream_Weight+Nearstream*Nearstream_Weight+Landscape*Landscape_Weight)/(Instream_Weight+Nearstream_Weight+Landscape_Weight)))</f>
        <v/>
      </c>
      <c r="G44" s="303" t="str">
        <f t="shared" ref="G44:G68" si="3">IF(OR(J14="",Nearstream="",Landscape=""),"",((J14*Instream_Weight+Nearstream*Nearstream_Weight+Landscape*Landscape_Weight)/(Instream_Weight+Nearstream_Weight+Landscape_Weight)))</f>
        <v/>
      </c>
      <c r="H44" s="303" t="str">
        <f t="shared" ref="H44:H68" si="4">IF(OR(K14="",Nearstream="",Landscape=""),"",((AVERAGE(K14,M14)*Instream_Weight+Nearstream*Nearstream_Weight+Landscape*Landscape_Weight)/(Instream_Weight+Nearstream_Weight+Landscape_Weight)))</f>
        <v/>
      </c>
      <c r="I44" s="303" t="str">
        <f t="shared" ref="I44:I68" si="5">IF(OR(L14="",Nearstream="",Landscape=""),"",((AVERAGE(L14,N14)*Instream_Weight+Nearstream*Nearstream_Weight+Landscape*Landscape_Weight)/(Instream_Weight+Nearstream_Weight+Landscape_Weight)))</f>
        <v/>
      </c>
      <c r="J44" s="304" t="str">
        <f t="shared" ref="J44:J68" si="6">IF(OR(O14="",Nearstream="",Landscape=""),"",((O14*Instream_Weight+Nearstream*Nearstream_Weight+Landscape*Landscape_Weight)/(Instream_Weight+Nearstream_Weight+Landscape_Weight)))</f>
        <v/>
      </c>
      <c r="K44" s="304" t="str">
        <f t="shared" ref="K44:K68" si="7">IF(OR(P14="",Nearstream="",Landscape=""),"",((P14*Instream_Weight+Nearstream*Nearstream_Weight+Landscape*Landscape_Weight)/(Instream_Weight+Nearstream_Weight+Landscape_Weight)))</f>
        <v/>
      </c>
      <c r="L44" s="304" t="str">
        <f t="shared" ref="L44:L68" si="8">IF(OR(Q14="",Nearstream="",Landscape=""),"",((Q14*Instream_Weight+Nearstream*Nearstream_Weight+Landscape*Landscape_Weight)/(Instream_Weight+Nearstream_Weight+Landscape_Weight)))</f>
        <v/>
      </c>
      <c r="M44" s="51"/>
      <c r="N44" s="51"/>
      <c r="O44" s="32"/>
      <c r="P44" s="55"/>
      <c r="Q44" s="35"/>
      <c r="R44" s="32"/>
      <c r="V44" s="54"/>
    </row>
    <row r="45" spans="2:22" s="18" customFormat="1" ht="15.75" x14ac:dyDescent="0.25">
      <c r="B45" s="303">
        <v>2</v>
      </c>
      <c r="C45" s="303" t="str">
        <f t="shared" ref="C45:C68" si="9">$C15</f>
        <v/>
      </c>
      <c r="D45" s="304" t="str">
        <f t="shared" si="0"/>
        <v/>
      </c>
      <c r="E45" s="304" t="str">
        <f t="shared" si="1"/>
        <v/>
      </c>
      <c r="F45" s="304" t="str">
        <f t="shared" si="2"/>
        <v/>
      </c>
      <c r="G45" s="303" t="str">
        <f t="shared" si="3"/>
        <v/>
      </c>
      <c r="H45" s="303" t="str">
        <f t="shared" si="4"/>
        <v/>
      </c>
      <c r="I45" s="303" t="str">
        <f t="shared" si="5"/>
        <v/>
      </c>
      <c r="J45" s="304" t="str">
        <f t="shared" si="6"/>
        <v/>
      </c>
      <c r="K45" s="304" t="str">
        <f t="shared" si="7"/>
        <v/>
      </c>
      <c r="L45" s="304" t="str">
        <f t="shared" si="8"/>
        <v/>
      </c>
      <c r="M45" s="51"/>
      <c r="N45" s="51"/>
      <c r="O45" s="32"/>
      <c r="P45" s="32"/>
      <c r="Q45" s="32"/>
      <c r="R45" s="32"/>
    </row>
    <row r="46" spans="2:22" s="18" customFormat="1" ht="15.75" x14ac:dyDescent="0.25">
      <c r="B46" s="303">
        <v>3</v>
      </c>
      <c r="C46" s="303" t="str">
        <f t="shared" si="9"/>
        <v/>
      </c>
      <c r="D46" s="304" t="str">
        <f t="shared" si="0"/>
        <v/>
      </c>
      <c r="E46" s="304" t="str">
        <f t="shared" si="1"/>
        <v/>
      </c>
      <c r="F46" s="304" t="str">
        <f t="shared" si="2"/>
        <v/>
      </c>
      <c r="G46" s="303" t="str">
        <f t="shared" si="3"/>
        <v/>
      </c>
      <c r="H46" s="303" t="str">
        <f t="shared" si="4"/>
        <v/>
      </c>
      <c r="I46" s="303" t="str">
        <f t="shared" si="5"/>
        <v/>
      </c>
      <c r="J46" s="304" t="str">
        <f t="shared" si="6"/>
        <v/>
      </c>
      <c r="K46" s="304" t="str">
        <f t="shared" si="7"/>
        <v/>
      </c>
      <c r="L46" s="304" t="str">
        <f t="shared" si="8"/>
        <v/>
      </c>
      <c r="M46" s="51"/>
      <c r="N46" s="51"/>
      <c r="O46" s="32"/>
      <c r="P46" s="32"/>
      <c r="Q46" s="32"/>
      <c r="R46" s="32"/>
    </row>
    <row r="47" spans="2:22" s="18" customFormat="1" ht="15.75" x14ac:dyDescent="0.25">
      <c r="B47" s="303">
        <v>4</v>
      </c>
      <c r="C47" s="303" t="str">
        <f t="shared" si="9"/>
        <v/>
      </c>
      <c r="D47" s="304" t="str">
        <f t="shared" si="0"/>
        <v/>
      </c>
      <c r="E47" s="304" t="str">
        <f t="shared" si="1"/>
        <v/>
      </c>
      <c r="F47" s="304" t="str">
        <f t="shared" si="2"/>
        <v/>
      </c>
      <c r="G47" s="303" t="str">
        <f t="shared" si="3"/>
        <v/>
      </c>
      <c r="H47" s="303" t="str">
        <f t="shared" si="4"/>
        <v/>
      </c>
      <c r="I47" s="303" t="str">
        <f t="shared" si="5"/>
        <v/>
      </c>
      <c r="J47" s="304" t="str">
        <f t="shared" si="6"/>
        <v/>
      </c>
      <c r="K47" s="304" t="str">
        <f t="shared" si="7"/>
        <v/>
      </c>
      <c r="L47" s="304" t="str">
        <f t="shared" si="8"/>
        <v/>
      </c>
      <c r="M47" s="51"/>
      <c r="N47" s="51"/>
    </row>
    <row r="48" spans="2:22" s="18" customFormat="1" ht="15.75" x14ac:dyDescent="0.25">
      <c r="B48" s="303">
        <v>5</v>
      </c>
      <c r="C48" s="303" t="str">
        <f t="shared" si="9"/>
        <v/>
      </c>
      <c r="D48" s="304" t="str">
        <f t="shared" si="0"/>
        <v/>
      </c>
      <c r="E48" s="304" t="str">
        <f t="shared" si="1"/>
        <v/>
      </c>
      <c r="F48" s="304" t="str">
        <f t="shared" si="2"/>
        <v/>
      </c>
      <c r="G48" s="303" t="str">
        <f t="shared" si="3"/>
        <v/>
      </c>
      <c r="H48" s="303" t="str">
        <f t="shared" si="4"/>
        <v/>
      </c>
      <c r="I48" s="303" t="str">
        <f t="shared" si="5"/>
        <v/>
      </c>
      <c r="J48" s="304" t="str">
        <f t="shared" si="6"/>
        <v/>
      </c>
      <c r="K48" s="304" t="str">
        <f t="shared" si="7"/>
        <v/>
      </c>
      <c r="L48" s="304" t="str">
        <f t="shared" si="8"/>
        <v/>
      </c>
      <c r="M48" s="51"/>
      <c r="N48" s="51"/>
    </row>
    <row r="49" spans="2:22" s="18" customFormat="1" ht="15.75" x14ac:dyDescent="0.25">
      <c r="B49" s="303">
        <v>6</v>
      </c>
      <c r="C49" s="303" t="str">
        <f t="shared" si="9"/>
        <v/>
      </c>
      <c r="D49" s="304" t="str">
        <f t="shared" si="0"/>
        <v/>
      </c>
      <c r="E49" s="304" t="str">
        <f t="shared" si="1"/>
        <v/>
      </c>
      <c r="F49" s="304" t="str">
        <f t="shared" si="2"/>
        <v/>
      </c>
      <c r="G49" s="303" t="str">
        <f t="shared" si="3"/>
        <v/>
      </c>
      <c r="H49" s="303" t="str">
        <f t="shared" si="4"/>
        <v/>
      </c>
      <c r="I49" s="303" t="str">
        <f t="shared" si="5"/>
        <v/>
      </c>
      <c r="J49" s="304" t="str">
        <f t="shared" si="6"/>
        <v/>
      </c>
      <c r="K49" s="304" t="str">
        <f t="shared" si="7"/>
        <v/>
      </c>
      <c r="L49" s="304" t="str">
        <f t="shared" si="8"/>
        <v/>
      </c>
      <c r="M49" s="51"/>
      <c r="N49" s="51"/>
      <c r="O49" s="32"/>
      <c r="P49" s="55"/>
      <c r="Q49" s="35"/>
      <c r="R49" s="32"/>
      <c r="V49" s="54"/>
    </row>
    <row r="50" spans="2:22" s="18" customFormat="1" ht="15.75" x14ac:dyDescent="0.25">
      <c r="B50" s="303">
        <v>7</v>
      </c>
      <c r="C50" s="303" t="str">
        <f t="shared" si="9"/>
        <v/>
      </c>
      <c r="D50" s="304" t="str">
        <f t="shared" si="0"/>
        <v/>
      </c>
      <c r="E50" s="304" t="str">
        <f t="shared" si="1"/>
        <v/>
      </c>
      <c r="F50" s="304" t="str">
        <f t="shared" si="2"/>
        <v/>
      </c>
      <c r="G50" s="303" t="str">
        <f t="shared" si="3"/>
        <v/>
      </c>
      <c r="H50" s="303" t="str">
        <f t="shared" si="4"/>
        <v/>
      </c>
      <c r="I50" s="303" t="str">
        <f t="shared" si="5"/>
        <v/>
      </c>
      <c r="J50" s="304" t="str">
        <f t="shared" si="6"/>
        <v/>
      </c>
      <c r="K50" s="304" t="str">
        <f t="shared" si="7"/>
        <v/>
      </c>
      <c r="L50" s="304" t="str">
        <f t="shared" si="8"/>
        <v/>
      </c>
      <c r="M50" s="51"/>
      <c r="N50" s="51"/>
      <c r="O50" s="32"/>
      <c r="P50" s="32"/>
      <c r="Q50" s="32"/>
      <c r="R50" s="32"/>
    </row>
    <row r="51" spans="2:22" s="18" customFormat="1" ht="15.75" x14ac:dyDescent="0.25">
      <c r="B51" s="303">
        <v>8</v>
      </c>
      <c r="C51" s="303" t="str">
        <f t="shared" si="9"/>
        <v/>
      </c>
      <c r="D51" s="304" t="str">
        <f t="shared" si="0"/>
        <v/>
      </c>
      <c r="E51" s="304" t="str">
        <f t="shared" si="1"/>
        <v/>
      </c>
      <c r="F51" s="304" t="str">
        <f t="shared" si="2"/>
        <v/>
      </c>
      <c r="G51" s="303" t="str">
        <f t="shared" si="3"/>
        <v/>
      </c>
      <c r="H51" s="303" t="str">
        <f t="shared" si="4"/>
        <v/>
      </c>
      <c r="I51" s="303" t="str">
        <f t="shared" si="5"/>
        <v/>
      </c>
      <c r="J51" s="304" t="str">
        <f t="shared" si="6"/>
        <v/>
      </c>
      <c r="K51" s="304" t="str">
        <f t="shared" si="7"/>
        <v/>
      </c>
      <c r="L51" s="304" t="str">
        <f t="shared" si="8"/>
        <v/>
      </c>
      <c r="M51" s="51"/>
      <c r="N51" s="51"/>
      <c r="O51" s="32"/>
      <c r="P51" s="32"/>
      <c r="Q51" s="32"/>
      <c r="R51" s="32"/>
    </row>
    <row r="52" spans="2:22" s="18" customFormat="1" ht="15.75" x14ac:dyDescent="0.25">
      <c r="B52" s="303">
        <v>9</v>
      </c>
      <c r="C52" s="303" t="str">
        <f t="shared" si="9"/>
        <v/>
      </c>
      <c r="D52" s="304" t="str">
        <f t="shared" si="0"/>
        <v/>
      </c>
      <c r="E52" s="304" t="str">
        <f t="shared" si="1"/>
        <v/>
      </c>
      <c r="F52" s="304" t="str">
        <f t="shared" si="2"/>
        <v/>
      </c>
      <c r="G52" s="303" t="str">
        <f t="shared" si="3"/>
        <v/>
      </c>
      <c r="H52" s="303" t="str">
        <f t="shared" si="4"/>
        <v/>
      </c>
      <c r="I52" s="303" t="str">
        <f t="shared" si="5"/>
        <v/>
      </c>
      <c r="J52" s="304" t="str">
        <f t="shared" si="6"/>
        <v/>
      </c>
      <c r="K52" s="304" t="str">
        <f t="shared" si="7"/>
        <v/>
      </c>
      <c r="L52" s="304" t="str">
        <f t="shared" si="8"/>
        <v/>
      </c>
      <c r="M52" s="51"/>
      <c r="N52" s="51"/>
    </row>
    <row r="53" spans="2:22" s="18" customFormat="1" ht="15.75" x14ac:dyDescent="0.25">
      <c r="B53" s="303">
        <v>10</v>
      </c>
      <c r="C53" s="303" t="str">
        <f t="shared" si="9"/>
        <v/>
      </c>
      <c r="D53" s="304" t="str">
        <f t="shared" si="0"/>
        <v/>
      </c>
      <c r="E53" s="304" t="str">
        <f t="shared" si="1"/>
        <v/>
      </c>
      <c r="F53" s="304" t="str">
        <f t="shared" si="2"/>
        <v/>
      </c>
      <c r="G53" s="303" t="str">
        <f t="shared" si="3"/>
        <v/>
      </c>
      <c r="H53" s="303" t="str">
        <f t="shared" si="4"/>
        <v/>
      </c>
      <c r="I53" s="303" t="str">
        <f t="shared" si="5"/>
        <v/>
      </c>
      <c r="J53" s="304" t="str">
        <f t="shared" si="6"/>
        <v/>
      </c>
      <c r="K53" s="304" t="str">
        <f t="shared" si="7"/>
        <v/>
      </c>
      <c r="L53" s="304" t="str">
        <f t="shared" si="8"/>
        <v/>
      </c>
      <c r="M53" s="51"/>
      <c r="N53" s="51"/>
    </row>
    <row r="54" spans="2:22" s="18" customFormat="1" ht="15.75" x14ac:dyDescent="0.25">
      <c r="B54" s="303">
        <v>11</v>
      </c>
      <c r="C54" s="303" t="str">
        <f t="shared" si="9"/>
        <v/>
      </c>
      <c r="D54" s="304" t="str">
        <f t="shared" si="0"/>
        <v/>
      </c>
      <c r="E54" s="304" t="str">
        <f t="shared" si="1"/>
        <v/>
      </c>
      <c r="F54" s="304" t="str">
        <f t="shared" si="2"/>
        <v/>
      </c>
      <c r="G54" s="303" t="str">
        <f t="shared" si="3"/>
        <v/>
      </c>
      <c r="H54" s="303" t="str">
        <f t="shared" si="4"/>
        <v/>
      </c>
      <c r="I54" s="303" t="str">
        <f t="shared" si="5"/>
        <v/>
      </c>
      <c r="J54" s="304" t="str">
        <f t="shared" si="6"/>
        <v/>
      </c>
      <c r="K54" s="304" t="str">
        <f t="shared" si="7"/>
        <v/>
      </c>
      <c r="L54" s="304" t="str">
        <f t="shared" si="8"/>
        <v/>
      </c>
      <c r="M54" s="51"/>
      <c r="N54" s="51"/>
      <c r="O54" s="32"/>
      <c r="P54" s="55"/>
      <c r="Q54" s="35"/>
      <c r="R54" s="32"/>
      <c r="V54" s="54"/>
    </row>
    <row r="55" spans="2:22" s="18" customFormat="1" ht="15.75" x14ac:dyDescent="0.25">
      <c r="B55" s="303">
        <v>12</v>
      </c>
      <c r="C55" s="303" t="str">
        <f t="shared" si="9"/>
        <v/>
      </c>
      <c r="D55" s="304" t="str">
        <f t="shared" si="0"/>
        <v/>
      </c>
      <c r="E55" s="304" t="str">
        <f t="shared" si="1"/>
        <v/>
      </c>
      <c r="F55" s="304" t="str">
        <f t="shared" si="2"/>
        <v/>
      </c>
      <c r="G55" s="303" t="str">
        <f t="shared" si="3"/>
        <v/>
      </c>
      <c r="H55" s="303" t="str">
        <f t="shared" si="4"/>
        <v/>
      </c>
      <c r="I55" s="303" t="str">
        <f t="shared" si="5"/>
        <v/>
      </c>
      <c r="J55" s="304" t="str">
        <f t="shared" si="6"/>
        <v/>
      </c>
      <c r="K55" s="304" t="str">
        <f t="shared" si="7"/>
        <v/>
      </c>
      <c r="L55" s="304" t="str">
        <f t="shared" si="8"/>
        <v/>
      </c>
      <c r="M55" s="51"/>
      <c r="N55" s="51"/>
      <c r="O55" s="32"/>
      <c r="P55" s="32"/>
      <c r="Q55" s="32"/>
      <c r="R55" s="32"/>
    </row>
    <row r="56" spans="2:22" s="18" customFormat="1" ht="15.75" x14ac:dyDescent="0.25">
      <c r="B56" s="303">
        <v>13</v>
      </c>
      <c r="C56" s="303" t="str">
        <f t="shared" si="9"/>
        <v/>
      </c>
      <c r="D56" s="304" t="str">
        <f t="shared" si="0"/>
        <v/>
      </c>
      <c r="E56" s="304" t="str">
        <f t="shared" si="1"/>
        <v/>
      </c>
      <c r="F56" s="304" t="str">
        <f t="shared" si="2"/>
        <v/>
      </c>
      <c r="G56" s="303" t="str">
        <f t="shared" si="3"/>
        <v/>
      </c>
      <c r="H56" s="303" t="str">
        <f t="shared" si="4"/>
        <v/>
      </c>
      <c r="I56" s="303" t="str">
        <f t="shared" si="5"/>
        <v/>
      </c>
      <c r="J56" s="304" t="str">
        <f t="shared" si="6"/>
        <v/>
      </c>
      <c r="K56" s="304" t="str">
        <f t="shared" si="7"/>
        <v/>
      </c>
      <c r="L56" s="304" t="str">
        <f t="shared" si="8"/>
        <v/>
      </c>
      <c r="M56" s="51"/>
      <c r="N56" s="51"/>
      <c r="O56" s="32"/>
      <c r="P56" s="32"/>
      <c r="Q56" s="32"/>
      <c r="R56" s="32"/>
    </row>
    <row r="57" spans="2:22" s="18" customFormat="1" ht="15.75" x14ac:dyDescent="0.25">
      <c r="B57" s="303">
        <v>14</v>
      </c>
      <c r="C57" s="303" t="str">
        <f t="shared" si="9"/>
        <v/>
      </c>
      <c r="D57" s="304" t="str">
        <f t="shared" si="0"/>
        <v/>
      </c>
      <c r="E57" s="304" t="str">
        <f t="shared" si="1"/>
        <v/>
      </c>
      <c r="F57" s="304" t="str">
        <f t="shared" si="2"/>
        <v/>
      </c>
      <c r="G57" s="303" t="str">
        <f t="shared" si="3"/>
        <v/>
      </c>
      <c r="H57" s="303" t="str">
        <f t="shared" si="4"/>
        <v/>
      </c>
      <c r="I57" s="303" t="str">
        <f t="shared" si="5"/>
        <v/>
      </c>
      <c r="J57" s="304" t="str">
        <f t="shared" si="6"/>
        <v/>
      </c>
      <c r="K57" s="304" t="str">
        <f t="shared" si="7"/>
        <v/>
      </c>
      <c r="L57" s="304" t="str">
        <f t="shared" si="8"/>
        <v/>
      </c>
      <c r="M57" s="51"/>
      <c r="N57" s="51"/>
    </row>
    <row r="58" spans="2:22" s="18" customFormat="1" ht="15.75" x14ac:dyDescent="0.25">
      <c r="B58" s="303">
        <v>15</v>
      </c>
      <c r="C58" s="303" t="str">
        <f t="shared" si="9"/>
        <v/>
      </c>
      <c r="D58" s="304" t="str">
        <f t="shared" si="0"/>
        <v/>
      </c>
      <c r="E58" s="304" t="str">
        <f t="shared" si="1"/>
        <v/>
      </c>
      <c r="F58" s="304" t="str">
        <f t="shared" si="2"/>
        <v/>
      </c>
      <c r="G58" s="303" t="str">
        <f t="shared" si="3"/>
        <v/>
      </c>
      <c r="H58" s="303" t="str">
        <f t="shared" si="4"/>
        <v/>
      </c>
      <c r="I58" s="303" t="str">
        <f t="shared" si="5"/>
        <v/>
      </c>
      <c r="J58" s="304" t="str">
        <f t="shared" si="6"/>
        <v/>
      </c>
      <c r="K58" s="304" t="str">
        <f t="shared" si="7"/>
        <v/>
      </c>
      <c r="L58" s="304" t="str">
        <f t="shared" si="8"/>
        <v/>
      </c>
      <c r="M58" s="51"/>
      <c r="N58" s="51"/>
    </row>
    <row r="59" spans="2:22" s="18" customFormat="1" ht="15.75" x14ac:dyDescent="0.25">
      <c r="B59" s="303">
        <v>16</v>
      </c>
      <c r="C59" s="303" t="str">
        <f t="shared" si="9"/>
        <v/>
      </c>
      <c r="D59" s="304" t="str">
        <f t="shared" si="0"/>
        <v/>
      </c>
      <c r="E59" s="304" t="str">
        <f t="shared" si="1"/>
        <v/>
      </c>
      <c r="F59" s="304" t="str">
        <f t="shared" si="2"/>
        <v/>
      </c>
      <c r="G59" s="303" t="str">
        <f t="shared" si="3"/>
        <v/>
      </c>
      <c r="H59" s="303" t="str">
        <f t="shared" si="4"/>
        <v/>
      </c>
      <c r="I59" s="303" t="str">
        <f t="shared" si="5"/>
        <v/>
      </c>
      <c r="J59" s="304" t="str">
        <f t="shared" si="6"/>
        <v/>
      </c>
      <c r="K59" s="304" t="str">
        <f t="shared" si="7"/>
        <v/>
      </c>
      <c r="L59" s="304" t="str">
        <f t="shared" si="8"/>
        <v/>
      </c>
      <c r="M59" s="51"/>
      <c r="N59" s="51"/>
      <c r="O59" s="32"/>
      <c r="P59" s="55"/>
      <c r="Q59" s="35"/>
      <c r="R59" s="32"/>
      <c r="V59" s="54"/>
    </row>
    <row r="60" spans="2:22" s="18" customFormat="1" ht="15.75" x14ac:dyDescent="0.25">
      <c r="B60" s="303">
        <v>17</v>
      </c>
      <c r="C60" s="303" t="str">
        <f t="shared" si="9"/>
        <v/>
      </c>
      <c r="D60" s="304" t="str">
        <f t="shared" si="0"/>
        <v/>
      </c>
      <c r="E60" s="304" t="str">
        <f t="shared" si="1"/>
        <v/>
      </c>
      <c r="F60" s="304" t="str">
        <f t="shared" si="2"/>
        <v/>
      </c>
      <c r="G60" s="303" t="str">
        <f t="shared" si="3"/>
        <v/>
      </c>
      <c r="H60" s="303" t="str">
        <f t="shared" si="4"/>
        <v/>
      </c>
      <c r="I60" s="303" t="str">
        <f t="shared" si="5"/>
        <v/>
      </c>
      <c r="J60" s="304" t="str">
        <f t="shared" si="6"/>
        <v/>
      </c>
      <c r="K60" s="304" t="str">
        <f t="shared" si="7"/>
        <v/>
      </c>
      <c r="L60" s="304" t="str">
        <f t="shared" si="8"/>
        <v/>
      </c>
      <c r="M60" s="51"/>
      <c r="N60" s="51"/>
      <c r="O60" s="32"/>
      <c r="P60" s="32"/>
      <c r="Q60" s="32"/>
      <c r="R60" s="32"/>
    </row>
    <row r="61" spans="2:22" s="18" customFormat="1" ht="15.75" x14ac:dyDescent="0.25">
      <c r="B61" s="303">
        <v>18</v>
      </c>
      <c r="C61" s="303" t="str">
        <f t="shared" si="9"/>
        <v/>
      </c>
      <c r="D61" s="304" t="str">
        <f t="shared" si="0"/>
        <v/>
      </c>
      <c r="E61" s="304" t="str">
        <f t="shared" si="1"/>
        <v/>
      </c>
      <c r="F61" s="304" t="str">
        <f t="shared" si="2"/>
        <v/>
      </c>
      <c r="G61" s="303" t="str">
        <f t="shared" si="3"/>
        <v/>
      </c>
      <c r="H61" s="303" t="str">
        <f t="shared" si="4"/>
        <v/>
      </c>
      <c r="I61" s="303" t="str">
        <f t="shared" si="5"/>
        <v/>
      </c>
      <c r="J61" s="304" t="str">
        <f t="shared" si="6"/>
        <v/>
      </c>
      <c r="K61" s="304" t="str">
        <f t="shared" si="7"/>
        <v/>
      </c>
      <c r="L61" s="304" t="str">
        <f t="shared" si="8"/>
        <v/>
      </c>
      <c r="M61" s="51"/>
      <c r="N61" s="51"/>
      <c r="O61" s="32"/>
      <c r="P61" s="32"/>
      <c r="Q61" s="32"/>
      <c r="R61" s="32"/>
    </row>
    <row r="62" spans="2:22" s="18" customFormat="1" ht="15.75" x14ac:dyDescent="0.25">
      <c r="B62" s="303">
        <v>19</v>
      </c>
      <c r="C62" s="303" t="str">
        <f t="shared" si="9"/>
        <v/>
      </c>
      <c r="D62" s="304" t="str">
        <f t="shared" si="0"/>
        <v/>
      </c>
      <c r="E62" s="304" t="str">
        <f t="shared" si="1"/>
        <v/>
      </c>
      <c r="F62" s="304" t="str">
        <f t="shared" si="2"/>
        <v/>
      </c>
      <c r="G62" s="303" t="str">
        <f t="shared" si="3"/>
        <v/>
      </c>
      <c r="H62" s="303" t="str">
        <f t="shared" si="4"/>
        <v/>
      </c>
      <c r="I62" s="303" t="str">
        <f t="shared" si="5"/>
        <v/>
      </c>
      <c r="J62" s="304" t="str">
        <f t="shared" si="6"/>
        <v/>
      </c>
      <c r="K62" s="304" t="str">
        <f t="shared" si="7"/>
        <v/>
      </c>
      <c r="L62" s="304" t="str">
        <f t="shared" si="8"/>
        <v/>
      </c>
      <c r="M62" s="51"/>
      <c r="N62" s="51"/>
    </row>
    <row r="63" spans="2:22" s="18" customFormat="1" ht="15.75" x14ac:dyDescent="0.25">
      <c r="B63" s="303">
        <v>20</v>
      </c>
      <c r="C63" s="303" t="str">
        <f t="shared" si="9"/>
        <v/>
      </c>
      <c r="D63" s="304" t="str">
        <f t="shared" si="0"/>
        <v/>
      </c>
      <c r="E63" s="304" t="str">
        <f t="shared" si="1"/>
        <v/>
      </c>
      <c r="F63" s="304" t="str">
        <f t="shared" si="2"/>
        <v/>
      </c>
      <c r="G63" s="303" t="str">
        <f t="shared" si="3"/>
        <v/>
      </c>
      <c r="H63" s="303" t="str">
        <f t="shared" si="4"/>
        <v/>
      </c>
      <c r="I63" s="303" t="str">
        <f t="shared" si="5"/>
        <v/>
      </c>
      <c r="J63" s="304" t="str">
        <f t="shared" si="6"/>
        <v/>
      </c>
      <c r="K63" s="304" t="str">
        <f t="shared" si="7"/>
        <v/>
      </c>
      <c r="L63" s="304" t="str">
        <f t="shared" si="8"/>
        <v/>
      </c>
      <c r="M63" s="51"/>
      <c r="N63" s="51"/>
    </row>
    <row r="64" spans="2:22" s="18" customFormat="1" ht="15.75" x14ac:dyDescent="0.25">
      <c r="B64" s="303">
        <v>21</v>
      </c>
      <c r="C64" s="303" t="str">
        <f t="shared" si="9"/>
        <v/>
      </c>
      <c r="D64" s="304" t="str">
        <f t="shared" si="0"/>
        <v/>
      </c>
      <c r="E64" s="304" t="str">
        <f t="shared" si="1"/>
        <v/>
      </c>
      <c r="F64" s="304" t="str">
        <f t="shared" si="2"/>
        <v/>
      </c>
      <c r="G64" s="303" t="str">
        <f t="shared" si="3"/>
        <v/>
      </c>
      <c r="H64" s="303" t="str">
        <f t="shared" si="4"/>
        <v/>
      </c>
      <c r="I64" s="303" t="str">
        <f t="shared" si="5"/>
        <v/>
      </c>
      <c r="J64" s="304" t="str">
        <f t="shared" si="6"/>
        <v/>
      </c>
      <c r="K64" s="304" t="str">
        <f t="shared" si="7"/>
        <v/>
      </c>
      <c r="L64" s="304" t="str">
        <f t="shared" si="8"/>
        <v/>
      </c>
      <c r="M64" s="51"/>
      <c r="N64" s="51"/>
      <c r="O64" s="32"/>
      <c r="P64" s="55"/>
      <c r="Q64" s="35"/>
      <c r="R64" s="32"/>
      <c r="V64" s="54"/>
    </row>
    <row r="65" spans="2:22" s="18" customFormat="1" ht="15.75" x14ac:dyDescent="0.25">
      <c r="B65" s="303">
        <v>22</v>
      </c>
      <c r="C65" s="303" t="str">
        <f t="shared" si="9"/>
        <v/>
      </c>
      <c r="D65" s="304" t="str">
        <f t="shared" si="0"/>
        <v/>
      </c>
      <c r="E65" s="304" t="str">
        <f t="shared" si="1"/>
        <v/>
      </c>
      <c r="F65" s="304" t="str">
        <f t="shared" si="2"/>
        <v/>
      </c>
      <c r="G65" s="303" t="str">
        <f t="shared" si="3"/>
        <v/>
      </c>
      <c r="H65" s="303" t="str">
        <f t="shared" si="4"/>
        <v/>
      </c>
      <c r="I65" s="303" t="str">
        <f t="shared" si="5"/>
        <v/>
      </c>
      <c r="J65" s="304" t="str">
        <f t="shared" si="6"/>
        <v/>
      </c>
      <c r="K65" s="304" t="str">
        <f t="shared" si="7"/>
        <v/>
      </c>
      <c r="L65" s="304" t="str">
        <f t="shared" si="8"/>
        <v/>
      </c>
      <c r="M65" s="51"/>
      <c r="N65" s="51"/>
      <c r="O65" s="32"/>
      <c r="P65" s="32"/>
      <c r="Q65" s="32"/>
      <c r="R65" s="32"/>
    </row>
    <row r="66" spans="2:22" s="18" customFormat="1" ht="15.75" x14ac:dyDescent="0.25">
      <c r="B66" s="303">
        <v>23</v>
      </c>
      <c r="C66" s="303" t="str">
        <f t="shared" si="9"/>
        <v/>
      </c>
      <c r="D66" s="304" t="str">
        <f t="shared" si="0"/>
        <v/>
      </c>
      <c r="E66" s="304" t="str">
        <f t="shared" si="1"/>
        <v/>
      </c>
      <c r="F66" s="304" t="str">
        <f t="shared" si="2"/>
        <v/>
      </c>
      <c r="G66" s="303" t="str">
        <f t="shared" si="3"/>
        <v/>
      </c>
      <c r="H66" s="303" t="str">
        <f t="shared" si="4"/>
        <v/>
      </c>
      <c r="I66" s="303" t="str">
        <f t="shared" si="5"/>
        <v/>
      </c>
      <c r="J66" s="304" t="str">
        <f t="shared" si="6"/>
        <v/>
      </c>
      <c r="K66" s="304" t="str">
        <f t="shared" si="7"/>
        <v/>
      </c>
      <c r="L66" s="304" t="str">
        <f t="shared" si="8"/>
        <v/>
      </c>
      <c r="M66" s="51"/>
      <c r="N66" s="51"/>
      <c r="O66" s="32"/>
      <c r="P66" s="32"/>
      <c r="Q66" s="32"/>
      <c r="R66" s="32"/>
    </row>
    <row r="67" spans="2:22" s="18" customFormat="1" ht="15.75" x14ac:dyDescent="0.25">
      <c r="B67" s="303">
        <v>24</v>
      </c>
      <c r="C67" s="303" t="str">
        <f t="shared" si="9"/>
        <v/>
      </c>
      <c r="D67" s="304" t="str">
        <f t="shared" si="0"/>
        <v/>
      </c>
      <c r="E67" s="304" t="str">
        <f t="shared" si="1"/>
        <v/>
      </c>
      <c r="F67" s="304" t="str">
        <f t="shared" si="2"/>
        <v/>
      </c>
      <c r="G67" s="303" t="str">
        <f t="shared" si="3"/>
        <v/>
      </c>
      <c r="H67" s="303" t="str">
        <f t="shared" si="4"/>
        <v/>
      </c>
      <c r="I67" s="303" t="str">
        <f t="shared" si="5"/>
        <v/>
      </c>
      <c r="J67" s="304" t="str">
        <f t="shared" si="6"/>
        <v/>
      </c>
      <c r="K67" s="304" t="str">
        <f t="shared" si="7"/>
        <v/>
      </c>
      <c r="L67" s="304" t="str">
        <f t="shared" si="8"/>
        <v/>
      </c>
      <c r="M67" s="51"/>
      <c r="N67" s="51"/>
    </row>
    <row r="68" spans="2:22" s="18" customFormat="1" ht="15.75" x14ac:dyDescent="0.25">
      <c r="B68" s="303">
        <v>25</v>
      </c>
      <c r="C68" s="303" t="str">
        <f t="shared" si="9"/>
        <v/>
      </c>
      <c r="D68" s="304" t="str">
        <f t="shared" si="0"/>
        <v/>
      </c>
      <c r="E68" s="304" t="str">
        <f t="shared" si="1"/>
        <v/>
      </c>
      <c r="F68" s="304" t="str">
        <f t="shared" si="2"/>
        <v/>
      </c>
      <c r="G68" s="303" t="str">
        <f t="shared" si="3"/>
        <v/>
      </c>
      <c r="H68" s="303" t="str">
        <f t="shared" si="4"/>
        <v/>
      </c>
      <c r="I68" s="303" t="str">
        <f t="shared" si="5"/>
        <v/>
      </c>
      <c r="J68" s="304" t="str">
        <f t="shared" si="6"/>
        <v/>
      </c>
      <c r="K68" s="304" t="str">
        <f t="shared" si="7"/>
        <v/>
      </c>
      <c r="L68" s="304" t="str">
        <f t="shared" si="8"/>
        <v/>
      </c>
      <c r="M68" s="51"/>
      <c r="N68" s="51"/>
    </row>
    <row r="69" spans="2:22" s="18" customFormat="1" ht="21.75" customHeight="1" x14ac:dyDescent="0.25">
      <c r="B69" s="180"/>
      <c r="C69" s="492" t="s">
        <v>271</v>
      </c>
      <c r="D69" s="492"/>
      <c r="E69" s="492"/>
      <c r="F69" s="492"/>
      <c r="G69" s="492"/>
      <c r="H69" s="492"/>
      <c r="I69" s="492"/>
      <c r="J69" s="492"/>
      <c r="K69" s="492"/>
      <c r="L69" s="492"/>
      <c r="M69" s="55"/>
      <c r="N69" s="51"/>
    </row>
    <row r="70" spans="2:22" x14ac:dyDescent="0.25">
      <c r="M70" s="35"/>
      <c r="N70" s="18"/>
      <c r="Q70" s="18"/>
      <c r="R70" s="18"/>
      <c r="S70" s="18"/>
      <c r="T70" s="18"/>
      <c r="U70" s="18"/>
    </row>
    <row r="71" spans="2:22" ht="20.100000000000001" customHeight="1" x14ac:dyDescent="0.25">
      <c r="B71" s="522" t="s">
        <v>157</v>
      </c>
      <c r="C71" s="522"/>
      <c r="D71" s="522"/>
      <c r="E71" s="522"/>
      <c r="F71" s="522"/>
      <c r="G71" s="522"/>
      <c r="H71" s="522"/>
      <c r="I71" s="522"/>
      <c r="J71" s="522"/>
      <c r="K71" s="522"/>
      <c r="L71" s="522"/>
      <c r="M71" s="133"/>
      <c r="N71" s="18"/>
      <c r="Q71" s="18"/>
      <c r="R71" s="18"/>
      <c r="S71" s="18"/>
      <c r="T71" s="18"/>
      <c r="U71" s="18"/>
    </row>
    <row r="72" spans="2:22" ht="24" customHeight="1" x14ac:dyDescent="0.25">
      <c r="B72" s="53" t="s">
        <v>386</v>
      </c>
      <c r="C72" s="53"/>
      <c r="D72" s="18"/>
      <c r="E72" s="18"/>
      <c r="F72" s="18"/>
      <c r="G72" s="18"/>
      <c r="H72" s="18"/>
      <c r="I72" s="18"/>
      <c r="J72" s="18"/>
      <c r="K72" s="18"/>
      <c r="L72" s="18"/>
      <c r="M72" s="35"/>
      <c r="N72" s="18"/>
      <c r="Q72" s="18"/>
      <c r="R72" s="18"/>
      <c r="S72" s="18"/>
      <c r="T72" s="18"/>
      <c r="U72" s="18"/>
      <c r="V72" s="18"/>
    </row>
    <row r="73" spans="2:22" s="18" customFormat="1" ht="30" customHeight="1" x14ac:dyDescent="0.25">
      <c r="B73" s="208" t="s">
        <v>103</v>
      </c>
      <c r="C73" s="208" t="s">
        <v>254</v>
      </c>
      <c r="D73" s="209" t="s">
        <v>104</v>
      </c>
      <c r="E73" s="209" t="s">
        <v>105</v>
      </c>
      <c r="F73" s="209" t="s">
        <v>106</v>
      </c>
      <c r="G73" s="208" t="s">
        <v>107</v>
      </c>
      <c r="H73" s="208" t="s">
        <v>108</v>
      </c>
      <c r="I73" s="208" t="s">
        <v>109</v>
      </c>
      <c r="J73" s="209" t="s">
        <v>110</v>
      </c>
      <c r="K73" s="209" t="s">
        <v>111</v>
      </c>
      <c r="L73" s="209" t="s">
        <v>112</v>
      </c>
      <c r="M73" s="51"/>
      <c r="N73" s="51"/>
      <c r="V73"/>
    </row>
    <row r="74" spans="2:22" s="18" customFormat="1" ht="15.75" x14ac:dyDescent="0.25">
      <c r="B74" s="303">
        <v>1</v>
      </c>
      <c r="C74" s="305" t="str">
        <f>$C14</f>
        <v/>
      </c>
      <c r="D74" s="306" t="str">
        <f t="shared" ref="D74:L89" si="10">IF($C74="","",IF(D44="","",((D44/3)*$C74)))</f>
        <v/>
      </c>
      <c r="E74" s="306" t="str">
        <f t="shared" si="10"/>
        <v/>
      </c>
      <c r="F74" s="306" t="str">
        <f t="shared" si="10"/>
        <v/>
      </c>
      <c r="G74" s="305" t="str">
        <f t="shared" si="10"/>
        <v/>
      </c>
      <c r="H74" s="305" t="str">
        <f t="shared" si="10"/>
        <v/>
      </c>
      <c r="I74" s="305" t="str">
        <f t="shared" si="10"/>
        <v/>
      </c>
      <c r="J74" s="306" t="str">
        <f t="shared" si="10"/>
        <v/>
      </c>
      <c r="K74" s="306" t="str">
        <f t="shared" si="10"/>
        <v/>
      </c>
      <c r="L74" s="306" t="str">
        <f t="shared" si="10"/>
        <v/>
      </c>
      <c r="M74" s="52"/>
      <c r="N74" s="52"/>
    </row>
    <row r="75" spans="2:22" s="18" customFormat="1" ht="15.75" x14ac:dyDescent="0.25">
      <c r="B75" s="303">
        <v>2</v>
      </c>
      <c r="C75" s="305" t="str">
        <f t="shared" ref="C75:C98" si="11">$C15</f>
        <v/>
      </c>
      <c r="D75" s="306" t="str">
        <f t="shared" si="10"/>
        <v/>
      </c>
      <c r="E75" s="306" t="str">
        <f t="shared" si="10"/>
        <v/>
      </c>
      <c r="F75" s="306" t="str">
        <f t="shared" si="10"/>
        <v/>
      </c>
      <c r="G75" s="305" t="str">
        <f t="shared" si="10"/>
        <v/>
      </c>
      <c r="H75" s="305" t="str">
        <f t="shared" si="10"/>
        <v/>
      </c>
      <c r="I75" s="305" t="str">
        <f t="shared" si="10"/>
        <v/>
      </c>
      <c r="J75" s="306" t="str">
        <f t="shared" si="10"/>
        <v/>
      </c>
      <c r="K75" s="306" t="str">
        <f t="shared" si="10"/>
        <v/>
      </c>
      <c r="L75" s="306" t="str">
        <f t="shared" si="10"/>
        <v/>
      </c>
      <c r="M75" s="52"/>
      <c r="N75" s="52"/>
    </row>
    <row r="76" spans="2:22" s="18" customFormat="1" ht="15.75" x14ac:dyDescent="0.25">
      <c r="B76" s="303">
        <v>3</v>
      </c>
      <c r="C76" s="305" t="str">
        <f t="shared" si="11"/>
        <v/>
      </c>
      <c r="D76" s="306" t="str">
        <f t="shared" si="10"/>
        <v/>
      </c>
      <c r="E76" s="306" t="str">
        <f t="shared" si="10"/>
        <v/>
      </c>
      <c r="F76" s="306" t="str">
        <f t="shared" si="10"/>
        <v/>
      </c>
      <c r="G76" s="305" t="str">
        <f t="shared" si="10"/>
        <v/>
      </c>
      <c r="H76" s="305" t="str">
        <f t="shared" si="10"/>
        <v/>
      </c>
      <c r="I76" s="305" t="str">
        <f t="shared" si="10"/>
        <v/>
      </c>
      <c r="J76" s="306" t="str">
        <f t="shared" si="10"/>
        <v/>
      </c>
      <c r="K76" s="306" t="str">
        <f t="shared" si="10"/>
        <v/>
      </c>
      <c r="L76" s="306" t="str">
        <f t="shared" si="10"/>
        <v/>
      </c>
      <c r="M76" s="52"/>
      <c r="N76" s="52"/>
    </row>
    <row r="77" spans="2:22" s="18" customFormat="1" ht="15.75" x14ac:dyDescent="0.25">
      <c r="B77" s="303">
        <v>4</v>
      </c>
      <c r="C77" s="305" t="str">
        <f t="shared" si="11"/>
        <v/>
      </c>
      <c r="D77" s="306" t="str">
        <f t="shared" si="10"/>
        <v/>
      </c>
      <c r="E77" s="306" t="str">
        <f t="shared" si="10"/>
        <v/>
      </c>
      <c r="F77" s="306" t="str">
        <f t="shared" si="10"/>
        <v/>
      </c>
      <c r="G77" s="305" t="str">
        <f t="shared" si="10"/>
        <v/>
      </c>
      <c r="H77" s="305" t="str">
        <f t="shared" si="10"/>
        <v/>
      </c>
      <c r="I77" s="305" t="str">
        <f t="shared" si="10"/>
        <v/>
      </c>
      <c r="J77" s="306" t="str">
        <f t="shared" si="10"/>
        <v/>
      </c>
      <c r="K77" s="306" t="str">
        <f t="shared" si="10"/>
        <v/>
      </c>
      <c r="L77" s="306" t="str">
        <f t="shared" si="10"/>
        <v/>
      </c>
      <c r="M77" s="52"/>
      <c r="N77" s="52"/>
    </row>
    <row r="78" spans="2:22" s="18" customFormat="1" ht="15.75" x14ac:dyDescent="0.25">
      <c r="B78" s="303">
        <v>5</v>
      </c>
      <c r="C78" s="305" t="str">
        <f t="shared" si="11"/>
        <v/>
      </c>
      <c r="D78" s="306" t="str">
        <f t="shared" si="10"/>
        <v/>
      </c>
      <c r="E78" s="306" t="str">
        <f t="shared" si="10"/>
        <v/>
      </c>
      <c r="F78" s="306" t="str">
        <f t="shared" si="10"/>
        <v/>
      </c>
      <c r="G78" s="305" t="str">
        <f t="shared" si="10"/>
        <v/>
      </c>
      <c r="H78" s="305" t="str">
        <f t="shared" si="10"/>
        <v/>
      </c>
      <c r="I78" s="305" t="str">
        <f t="shared" si="10"/>
        <v/>
      </c>
      <c r="J78" s="306" t="str">
        <f t="shared" si="10"/>
        <v/>
      </c>
      <c r="K78" s="306" t="str">
        <f t="shared" si="10"/>
        <v/>
      </c>
      <c r="L78" s="306" t="str">
        <f t="shared" si="10"/>
        <v/>
      </c>
      <c r="M78" s="52"/>
      <c r="N78" s="52"/>
    </row>
    <row r="79" spans="2:22" s="18" customFormat="1" ht="15.75" x14ac:dyDescent="0.25">
      <c r="B79" s="303">
        <v>6</v>
      </c>
      <c r="C79" s="305" t="str">
        <f t="shared" si="11"/>
        <v/>
      </c>
      <c r="D79" s="306" t="str">
        <f t="shared" si="10"/>
        <v/>
      </c>
      <c r="E79" s="306" t="str">
        <f t="shared" si="10"/>
        <v/>
      </c>
      <c r="F79" s="306" t="str">
        <f t="shared" si="10"/>
        <v/>
      </c>
      <c r="G79" s="305" t="str">
        <f t="shared" si="10"/>
        <v/>
      </c>
      <c r="H79" s="305" t="str">
        <f t="shared" si="10"/>
        <v/>
      </c>
      <c r="I79" s="305" t="str">
        <f t="shared" si="10"/>
        <v/>
      </c>
      <c r="J79" s="306" t="str">
        <f t="shared" si="10"/>
        <v/>
      </c>
      <c r="K79" s="306" t="str">
        <f t="shared" si="10"/>
        <v/>
      </c>
      <c r="L79" s="306" t="str">
        <f t="shared" si="10"/>
        <v/>
      </c>
      <c r="M79" s="52"/>
      <c r="N79" s="52"/>
    </row>
    <row r="80" spans="2:22" s="18" customFormat="1" ht="15.75" x14ac:dyDescent="0.25">
      <c r="B80" s="303">
        <v>7</v>
      </c>
      <c r="C80" s="305" t="str">
        <f t="shared" si="11"/>
        <v/>
      </c>
      <c r="D80" s="306" t="str">
        <f t="shared" si="10"/>
        <v/>
      </c>
      <c r="E80" s="306" t="str">
        <f t="shared" si="10"/>
        <v/>
      </c>
      <c r="F80" s="306" t="str">
        <f t="shared" si="10"/>
        <v/>
      </c>
      <c r="G80" s="305" t="str">
        <f t="shared" si="10"/>
        <v/>
      </c>
      <c r="H80" s="305" t="str">
        <f t="shared" si="10"/>
        <v/>
      </c>
      <c r="I80" s="305" t="str">
        <f t="shared" si="10"/>
        <v/>
      </c>
      <c r="J80" s="306" t="str">
        <f t="shared" si="10"/>
        <v/>
      </c>
      <c r="K80" s="306" t="str">
        <f t="shared" si="10"/>
        <v/>
      </c>
      <c r="L80" s="306" t="str">
        <f t="shared" si="10"/>
        <v/>
      </c>
      <c r="M80" s="52"/>
      <c r="N80" s="52"/>
    </row>
    <row r="81" spans="2:14" s="18" customFormat="1" ht="15.75" x14ac:dyDescent="0.25">
      <c r="B81" s="303">
        <v>8</v>
      </c>
      <c r="C81" s="305" t="str">
        <f t="shared" si="11"/>
        <v/>
      </c>
      <c r="D81" s="306" t="str">
        <f t="shared" si="10"/>
        <v/>
      </c>
      <c r="E81" s="306" t="str">
        <f t="shared" si="10"/>
        <v/>
      </c>
      <c r="F81" s="306" t="str">
        <f t="shared" si="10"/>
        <v/>
      </c>
      <c r="G81" s="305" t="str">
        <f t="shared" si="10"/>
        <v/>
      </c>
      <c r="H81" s="305" t="str">
        <f t="shared" si="10"/>
        <v/>
      </c>
      <c r="I81" s="305" t="str">
        <f t="shared" si="10"/>
        <v/>
      </c>
      <c r="J81" s="306" t="str">
        <f t="shared" si="10"/>
        <v/>
      </c>
      <c r="K81" s="306" t="str">
        <f t="shared" si="10"/>
        <v/>
      </c>
      <c r="L81" s="306" t="str">
        <f t="shared" si="10"/>
        <v/>
      </c>
      <c r="M81" s="52"/>
      <c r="N81" s="52"/>
    </row>
    <row r="82" spans="2:14" s="18" customFormat="1" ht="15.75" x14ac:dyDescent="0.25">
      <c r="B82" s="303">
        <v>9</v>
      </c>
      <c r="C82" s="305" t="str">
        <f t="shared" si="11"/>
        <v/>
      </c>
      <c r="D82" s="306" t="str">
        <f t="shared" si="10"/>
        <v/>
      </c>
      <c r="E82" s="306" t="str">
        <f t="shared" si="10"/>
        <v/>
      </c>
      <c r="F82" s="306" t="str">
        <f t="shared" si="10"/>
        <v/>
      </c>
      <c r="G82" s="305" t="str">
        <f t="shared" si="10"/>
        <v/>
      </c>
      <c r="H82" s="305" t="str">
        <f t="shared" si="10"/>
        <v/>
      </c>
      <c r="I82" s="305" t="str">
        <f t="shared" si="10"/>
        <v/>
      </c>
      <c r="J82" s="306" t="str">
        <f t="shared" si="10"/>
        <v/>
      </c>
      <c r="K82" s="306" t="str">
        <f t="shared" si="10"/>
        <v/>
      </c>
      <c r="L82" s="306" t="str">
        <f t="shared" si="10"/>
        <v/>
      </c>
      <c r="M82" s="52"/>
      <c r="N82" s="52"/>
    </row>
    <row r="83" spans="2:14" s="18" customFormat="1" ht="15.75" x14ac:dyDescent="0.25">
      <c r="B83" s="303">
        <v>10</v>
      </c>
      <c r="C83" s="305" t="str">
        <f t="shared" si="11"/>
        <v/>
      </c>
      <c r="D83" s="306" t="str">
        <f t="shared" si="10"/>
        <v/>
      </c>
      <c r="E83" s="306" t="str">
        <f t="shared" si="10"/>
        <v/>
      </c>
      <c r="F83" s="306" t="str">
        <f t="shared" si="10"/>
        <v/>
      </c>
      <c r="G83" s="305" t="str">
        <f t="shared" si="10"/>
        <v/>
      </c>
      <c r="H83" s="305" t="str">
        <f t="shared" si="10"/>
        <v/>
      </c>
      <c r="I83" s="305" t="str">
        <f t="shared" si="10"/>
        <v/>
      </c>
      <c r="J83" s="306" t="str">
        <f t="shared" si="10"/>
        <v/>
      </c>
      <c r="K83" s="306" t="str">
        <f t="shared" si="10"/>
        <v/>
      </c>
      <c r="L83" s="306" t="str">
        <f t="shared" si="10"/>
        <v/>
      </c>
      <c r="M83" s="52"/>
      <c r="N83" s="52"/>
    </row>
    <row r="84" spans="2:14" s="18" customFormat="1" ht="15.75" x14ac:dyDescent="0.25">
      <c r="B84" s="303">
        <v>11</v>
      </c>
      <c r="C84" s="305" t="str">
        <f t="shared" si="11"/>
        <v/>
      </c>
      <c r="D84" s="306" t="str">
        <f t="shared" si="10"/>
        <v/>
      </c>
      <c r="E84" s="306" t="str">
        <f t="shared" si="10"/>
        <v/>
      </c>
      <c r="F84" s="306" t="str">
        <f t="shared" si="10"/>
        <v/>
      </c>
      <c r="G84" s="305" t="str">
        <f t="shared" si="10"/>
        <v/>
      </c>
      <c r="H84" s="305" t="str">
        <f t="shared" si="10"/>
        <v/>
      </c>
      <c r="I84" s="305" t="str">
        <f t="shared" si="10"/>
        <v/>
      </c>
      <c r="J84" s="306" t="str">
        <f t="shared" si="10"/>
        <v/>
      </c>
      <c r="K84" s="306" t="str">
        <f t="shared" si="10"/>
        <v/>
      </c>
      <c r="L84" s="306" t="str">
        <f t="shared" si="10"/>
        <v/>
      </c>
      <c r="M84" s="52"/>
      <c r="N84" s="52"/>
    </row>
    <row r="85" spans="2:14" s="18" customFormat="1" ht="15.75" x14ac:dyDescent="0.25">
      <c r="B85" s="303">
        <v>12</v>
      </c>
      <c r="C85" s="305" t="str">
        <f t="shared" si="11"/>
        <v/>
      </c>
      <c r="D85" s="306" t="str">
        <f t="shared" si="10"/>
        <v/>
      </c>
      <c r="E85" s="306" t="str">
        <f t="shared" si="10"/>
        <v/>
      </c>
      <c r="F85" s="306" t="str">
        <f t="shared" si="10"/>
        <v/>
      </c>
      <c r="G85" s="305" t="str">
        <f t="shared" si="10"/>
        <v/>
      </c>
      <c r="H85" s="305" t="str">
        <f t="shared" si="10"/>
        <v/>
      </c>
      <c r="I85" s="305" t="str">
        <f t="shared" si="10"/>
        <v/>
      </c>
      <c r="J85" s="306" t="str">
        <f t="shared" si="10"/>
        <v/>
      </c>
      <c r="K85" s="306" t="str">
        <f t="shared" si="10"/>
        <v/>
      </c>
      <c r="L85" s="306" t="str">
        <f t="shared" si="10"/>
        <v/>
      </c>
      <c r="M85" s="52"/>
      <c r="N85" s="52"/>
    </row>
    <row r="86" spans="2:14" s="18" customFormat="1" ht="15.75" x14ac:dyDescent="0.25">
      <c r="B86" s="303">
        <v>13</v>
      </c>
      <c r="C86" s="305" t="str">
        <f t="shared" si="11"/>
        <v/>
      </c>
      <c r="D86" s="306" t="str">
        <f t="shared" si="10"/>
        <v/>
      </c>
      <c r="E86" s="306" t="str">
        <f t="shared" si="10"/>
        <v/>
      </c>
      <c r="F86" s="306" t="str">
        <f t="shared" si="10"/>
        <v/>
      </c>
      <c r="G86" s="305" t="str">
        <f t="shared" si="10"/>
        <v/>
      </c>
      <c r="H86" s="305" t="str">
        <f t="shared" si="10"/>
        <v/>
      </c>
      <c r="I86" s="305" t="str">
        <f t="shared" si="10"/>
        <v/>
      </c>
      <c r="J86" s="306" t="str">
        <f t="shared" si="10"/>
        <v/>
      </c>
      <c r="K86" s="306" t="str">
        <f t="shared" si="10"/>
        <v/>
      </c>
      <c r="L86" s="306" t="str">
        <f t="shared" si="10"/>
        <v/>
      </c>
      <c r="M86" s="52"/>
      <c r="N86" s="52"/>
    </row>
    <row r="87" spans="2:14" s="18" customFormat="1" ht="15.75" x14ac:dyDescent="0.25">
      <c r="B87" s="303">
        <v>14</v>
      </c>
      <c r="C87" s="305" t="str">
        <f t="shared" si="11"/>
        <v/>
      </c>
      <c r="D87" s="306" t="str">
        <f t="shared" si="10"/>
        <v/>
      </c>
      <c r="E87" s="306" t="str">
        <f t="shared" si="10"/>
        <v/>
      </c>
      <c r="F87" s="306" t="str">
        <f t="shared" si="10"/>
        <v/>
      </c>
      <c r="G87" s="305" t="str">
        <f t="shared" si="10"/>
        <v/>
      </c>
      <c r="H87" s="305" t="str">
        <f t="shared" si="10"/>
        <v/>
      </c>
      <c r="I87" s="305" t="str">
        <f t="shared" si="10"/>
        <v/>
      </c>
      <c r="J87" s="306" t="str">
        <f t="shared" si="10"/>
        <v/>
      </c>
      <c r="K87" s="306" t="str">
        <f t="shared" si="10"/>
        <v/>
      </c>
      <c r="L87" s="306" t="str">
        <f t="shared" si="10"/>
        <v/>
      </c>
      <c r="M87" s="52"/>
      <c r="N87" s="52"/>
    </row>
    <row r="88" spans="2:14" s="18" customFormat="1" ht="15.75" x14ac:dyDescent="0.25">
      <c r="B88" s="303">
        <v>15</v>
      </c>
      <c r="C88" s="305" t="str">
        <f t="shared" si="11"/>
        <v/>
      </c>
      <c r="D88" s="306" t="str">
        <f t="shared" si="10"/>
        <v/>
      </c>
      <c r="E88" s="306" t="str">
        <f t="shared" si="10"/>
        <v/>
      </c>
      <c r="F88" s="306" t="str">
        <f t="shared" si="10"/>
        <v/>
      </c>
      <c r="G88" s="305" t="str">
        <f t="shared" si="10"/>
        <v/>
      </c>
      <c r="H88" s="305" t="str">
        <f t="shared" si="10"/>
        <v/>
      </c>
      <c r="I88" s="305" t="str">
        <f t="shared" si="10"/>
        <v/>
      </c>
      <c r="J88" s="306" t="str">
        <f t="shared" si="10"/>
        <v/>
      </c>
      <c r="K88" s="306" t="str">
        <f t="shared" si="10"/>
        <v/>
      </c>
      <c r="L88" s="306" t="str">
        <f t="shared" si="10"/>
        <v/>
      </c>
      <c r="M88" s="52"/>
      <c r="N88" s="52"/>
    </row>
    <row r="89" spans="2:14" s="18" customFormat="1" ht="15.75" x14ac:dyDescent="0.25">
      <c r="B89" s="303">
        <v>16</v>
      </c>
      <c r="C89" s="305" t="str">
        <f t="shared" si="11"/>
        <v/>
      </c>
      <c r="D89" s="306" t="str">
        <f t="shared" si="10"/>
        <v/>
      </c>
      <c r="E89" s="306" t="str">
        <f t="shared" si="10"/>
        <v/>
      </c>
      <c r="F89" s="306" t="str">
        <f t="shared" si="10"/>
        <v/>
      </c>
      <c r="G89" s="305" t="str">
        <f t="shared" si="10"/>
        <v/>
      </c>
      <c r="H89" s="305" t="str">
        <f t="shared" si="10"/>
        <v/>
      </c>
      <c r="I89" s="305" t="str">
        <f t="shared" si="10"/>
        <v/>
      </c>
      <c r="J89" s="306" t="str">
        <f t="shared" si="10"/>
        <v/>
      </c>
      <c r="K89" s="306" t="str">
        <f t="shared" si="10"/>
        <v/>
      </c>
      <c r="L89" s="306" t="str">
        <f t="shared" si="10"/>
        <v/>
      </c>
      <c r="M89" s="52"/>
      <c r="N89" s="52"/>
    </row>
    <row r="90" spans="2:14" s="18" customFormat="1" ht="15.75" x14ac:dyDescent="0.25">
      <c r="B90" s="303">
        <v>17</v>
      </c>
      <c r="C90" s="305" t="str">
        <f t="shared" si="11"/>
        <v/>
      </c>
      <c r="D90" s="306" t="str">
        <f t="shared" ref="D90:L98" si="12">IF($C90="","",IF(D60="","",((D60/3)*$C90)))</f>
        <v/>
      </c>
      <c r="E90" s="306" t="str">
        <f t="shared" si="12"/>
        <v/>
      </c>
      <c r="F90" s="306" t="str">
        <f t="shared" si="12"/>
        <v/>
      </c>
      <c r="G90" s="305" t="str">
        <f t="shared" si="12"/>
        <v/>
      </c>
      <c r="H90" s="305" t="str">
        <f t="shared" si="12"/>
        <v/>
      </c>
      <c r="I90" s="305" t="str">
        <f t="shared" si="12"/>
        <v/>
      </c>
      <c r="J90" s="306" t="str">
        <f t="shared" si="12"/>
        <v/>
      </c>
      <c r="K90" s="306" t="str">
        <f t="shared" si="12"/>
        <v/>
      </c>
      <c r="L90" s="306" t="str">
        <f t="shared" si="12"/>
        <v/>
      </c>
      <c r="M90" s="52"/>
      <c r="N90" s="52"/>
    </row>
    <row r="91" spans="2:14" s="18" customFormat="1" ht="15.75" x14ac:dyDescent="0.25">
      <c r="B91" s="303">
        <v>18</v>
      </c>
      <c r="C91" s="305" t="str">
        <f t="shared" si="11"/>
        <v/>
      </c>
      <c r="D91" s="306" t="str">
        <f t="shared" si="12"/>
        <v/>
      </c>
      <c r="E91" s="306" t="str">
        <f t="shared" si="12"/>
        <v/>
      </c>
      <c r="F91" s="306" t="str">
        <f t="shared" si="12"/>
        <v/>
      </c>
      <c r="G91" s="305" t="str">
        <f t="shared" si="12"/>
        <v/>
      </c>
      <c r="H91" s="305" t="str">
        <f t="shared" si="12"/>
        <v/>
      </c>
      <c r="I91" s="305" t="str">
        <f t="shared" si="12"/>
        <v/>
      </c>
      <c r="J91" s="306" t="str">
        <f t="shared" si="12"/>
        <v/>
      </c>
      <c r="K91" s="306" t="str">
        <f t="shared" si="12"/>
        <v/>
      </c>
      <c r="L91" s="306" t="str">
        <f t="shared" si="12"/>
        <v/>
      </c>
      <c r="M91" s="52"/>
      <c r="N91" s="52"/>
    </row>
    <row r="92" spans="2:14" s="18" customFormat="1" ht="15.75" x14ac:dyDescent="0.25">
      <c r="B92" s="303">
        <v>19</v>
      </c>
      <c r="C92" s="305" t="str">
        <f t="shared" si="11"/>
        <v/>
      </c>
      <c r="D92" s="306" t="str">
        <f t="shared" si="12"/>
        <v/>
      </c>
      <c r="E92" s="306" t="str">
        <f t="shared" si="12"/>
        <v/>
      </c>
      <c r="F92" s="306" t="str">
        <f t="shared" si="12"/>
        <v/>
      </c>
      <c r="G92" s="305" t="str">
        <f t="shared" si="12"/>
        <v/>
      </c>
      <c r="H92" s="305" t="str">
        <f t="shared" si="12"/>
        <v/>
      </c>
      <c r="I92" s="305" t="str">
        <f t="shared" si="12"/>
        <v/>
      </c>
      <c r="J92" s="306" t="str">
        <f t="shared" si="12"/>
        <v/>
      </c>
      <c r="K92" s="306" t="str">
        <f t="shared" si="12"/>
        <v/>
      </c>
      <c r="L92" s="306" t="str">
        <f t="shared" si="12"/>
        <v/>
      </c>
      <c r="M92" s="52"/>
      <c r="N92" s="52"/>
    </row>
    <row r="93" spans="2:14" s="18" customFormat="1" ht="15.75" x14ac:dyDescent="0.25">
      <c r="B93" s="303">
        <v>20</v>
      </c>
      <c r="C93" s="305" t="str">
        <f t="shared" si="11"/>
        <v/>
      </c>
      <c r="D93" s="306" t="str">
        <f t="shared" si="12"/>
        <v/>
      </c>
      <c r="E93" s="306" t="str">
        <f t="shared" si="12"/>
        <v/>
      </c>
      <c r="F93" s="306" t="str">
        <f t="shared" si="12"/>
        <v/>
      </c>
      <c r="G93" s="305" t="str">
        <f t="shared" si="12"/>
        <v/>
      </c>
      <c r="H93" s="305" t="str">
        <f t="shared" si="12"/>
        <v/>
      </c>
      <c r="I93" s="305" t="str">
        <f t="shared" si="12"/>
        <v/>
      </c>
      <c r="J93" s="306" t="str">
        <f t="shared" si="12"/>
        <v/>
      </c>
      <c r="K93" s="306" t="str">
        <f t="shared" si="12"/>
        <v/>
      </c>
      <c r="L93" s="306" t="str">
        <f t="shared" si="12"/>
        <v/>
      </c>
      <c r="M93" s="52"/>
      <c r="N93" s="52"/>
    </row>
    <row r="94" spans="2:14" s="18" customFormat="1" ht="15.75" x14ac:dyDescent="0.25">
      <c r="B94" s="303">
        <v>21</v>
      </c>
      <c r="C94" s="305" t="str">
        <f t="shared" si="11"/>
        <v/>
      </c>
      <c r="D94" s="306" t="str">
        <f t="shared" si="12"/>
        <v/>
      </c>
      <c r="E94" s="306" t="str">
        <f t="shared" si="12"/>
        <v/>
      </c>
      <c r="F94" s="306" t="str">
        <f t="shared" si="12"/>
        <v/>
      </c>
      <c r="G94" s="305" t="str">
        <f t="shared" si="12"/>
        <v/>
      </c>
      <c r="H94" s="305" t="str">
        <f t="shared" si="12"/>
        <v/>
      </c>
      <c r="I94" s="305" t="str">
        <f t="shared" si="12"/>
        <v/>
      </c>
      <c r="J94" s="306" t="str">
        <f t="shared" si="12"/>
        <v/>
      </c>
      <c r="K94" s="306" t="str">
        <f t="shared" si="12"/>
        <v/>
      </c>
      <c r="L94" s="306" t="str">
        <f t="shared" si="12"/>
        <v/>
      </c>
      <c r="M94" s="52"/>
      <c r="N94" s="52"/>
    </row>
    <row r="95" spans="2:14" s="18" customFormat="1" ht="15.75" x14ac:dyDescent="0.25">
      <c r="B95" s="303">
        <v>22</v>
      </c>
      <c r="C95" s="305" t="str">
        <f t="shared" si="11"/>
        <v/>
      </c>
      <c r="D95" s="306" t="str">
        <f t="shared" si="12"/>
        <v/>
      </c>
      <c r="E95" s="306" t="str">
        <f t="shared" si="12"/>
        <v/>
      </c>
      <c r="F95" s="306" t="str">
        <f t="shared" si="12"/>
        <v/>
      </c>
      <c r="G95" s="305" t="str">
        <f t="shared" si="12"/>
        <v/>
      </c>
      <c r="H95" s="305" t="str">
        <f t="shared" si="12"/>
        <v/>
      </c>
      <c r="I95" s="305" t="str">
        <f t="shared" si="12"/>
        <v/>
      </c>
      <c r="J95" s="306" t="str">
        <f t="shared" si="12"/>
        <v/>
      </c>
      <c r="K95" s="306" t="str">
        <f t="shared" si="12"/>
        <v/>
      </c>
      <c r="L95" s="306" t="str">
        <f t="shared" si="12"/>
        <v/>
      </c>
      <c r="M95" s="52"/>
      <c r="N95" s="52"/>
    </row>
    <row r="96" spans="2:14" s="18" customFormat="1" ht="15.75" x14ac:dyDescent="0.25">
      <c r="B96" s="303">
        <v>23</v>
      </c>
      <c r="C96" s="305" t="str">
        <f t="shared" si="11"/>
        <v/>
      </c>
      <c r="D96" s="306" t="str">
        <f t="shared" si="12"/>
        <v/>
      </c>
      <c r="E96" s="306" t="str">
        <f t="shared" si="12"/>
        <v/>
      </c>
      <c r="F96" s="306" t="str">
        <f t="shared" si="12"/>
        <v/>
      </c>
      <c r="G96" s="305" t="str">
        <f t="shared" si="12"/>
        <v/>
      </c>
      <c r="H96" s="305" t="str">
        <f t="shared" si="12"/>
        <v/>
      </c>
      <c r="I96" s="305" t="str">
        <f t="shared" si="12"/>
        <v/>
      </c>
      <c r="J96" s="306" t="str">
        <f t="shared" si="12"/>
        <v/>
      </c>
      <c r="K96" s="306" t="str">
        <f t="shared" si="12"/>
        <v/>
      </c>
      <c r="L96" s="306" t="str">
        <f t="shared" si="12"/>
        <v/>
      </c>
      <c r="M96" s="52"/>
      <c r="N96" s="52"/>
    </row>
    <row r="97" spans="2:15" s="18" customFormat="1" ht="15.75" x14ac:dyDescent="0.25">
      <c r="B97" s="303">
        <v>24</v>
      </c>
      <c r="C97" s="305" t="str">
        <f t="shared" si="11"/>
        <v/>
      </c>
      <c r="D97" s="306" t="str">
        <f t="shared" si="12"/>
        <v/>
      </c>
      <c r="E97" s="306" t="str">
        <f t="shared" si="12"/>
        <v/>
      </c>
      <c r="F97" s="306" t="str">
        <f t="shared" si="12"/>
        <v/>
      </c>
      <c r="G97" s="305" t="str">
        <f t="shared" si="12"/>
        <v/>
      </c>
      <c r="H97" s="305" t="str">
        <f t="shared" si="12"/>
        <v/>
      </c>
      <c r="I97" s="305" t="str">
        <f t="shared" si="12"/>
        <v/>
      </c>
      <c r="J97" s="306" t="str">
        <f t="shared" si="12"/>
        <v/>
      </c>
      <c r="K97" s="306" t="str">
        <f t="shared" si="12"/>
        <v/>
      </c>
      <c r="L97" s="306" t="str">
        <f t="shared" si="12"/>
        <v/>
      </c>
      <c r="M97" s="52"/>
      <c r="N97" s="52"/>
    </row>
    <row r="98" spans="2:15" s="18" customFormat="1" ht="15.75" x14ac:dyDescent="0.25">
      <c r="B98" s="303">
        <v>25</v>
      </c>
      <c r="C98" s="305" t="str">
        <f t="shared" si="11"/>
        <v/>
      </c>
      <c r="D98" s="306" t="str">
        <f t="shared" si="12"/>
        <v/>
      </c>
      <c r="E98" s="306" t="str">
        <f t="shared" si="12"/>
        <v/>
      </c>
      <c r="F98" s="306" t="str">
        <f t="shared" si="12"/>
        <v/>
      </c>
      <c r="G98" s="305" t="str">
        <f t="shared" si="12"/>
        <v/>
      </c>
      <c r="H98" s="305" t="str">
        <f t="shared" si="12"/>
        <v/>
      </c>
      <c r="I98" s="305" t="str">
        <f t="shared" si="12"/>
        <v/>
      </c>
      <c r="J98" s="306" t="str">
        <f t="shared" si="12"/>
        <v/>
      </c>
      <c r="K98" s="306" t="str">
        <f t="shared" si="12"/>
        <v/>
      </c>
      <c r="L98" s="306" t="str">
        <f t="shared" si="12"/>
        <v/>
      </c>
      <c r="M98" s="52"/>
      <c r="N98" s="52"/>
    </row>
    <row r="99" spans="2:15" s="18" customFormat="1" ht="18" x14ac:dyDescent="0.25">
      <c r="B99" s="481" t="s">
        <v>268</v>
      </c>
      <c r="C99" s="482"/>
      <c r="D99" s="307">
        <f t="shared" ref="D99:L99" si="13">SUM(D74:D98)</f>
        <v>0</v>
      </c>
      <c r="E99" s="307">
        <f t="shared" si="13"/>
        <v>0</v>
      </c>
      <c r="F99" s="307">
        <f t="shared" si="13"/>
        <v>0</v>
      </c>
      <c r="G99" s="308">
        <f t="shared" si="13"/>
        <v>0</v>
      </c>
      <c r="H99" s="308">
        <f t="shared" si="13"/>
        <v>0</v>
      </c>
      <c r="I99" s="308">
        <f t="shared" si="13"/>
        <v>0</v>
      </c>
      <c r="J99" s="307">
        <f t="shared" si="13"/>
        <v>0</v>
      </c>
      <c r="K99" s="307">
        <f t="shared" si="13"/>
        <v>0</v>
      </c>
      <c r="L99" s="307">
        <f t="shared" si="13"/>
        <v>0</v>
      </c>
      <c r="M99" s="17"/>
      <c r="N99" s="17"/>
    </row>
    <row r="100" spans="2:15" s="18" customFormat="1" ht="15.75" x14ac:dyDescent="0.25">
      <c r="B100" s="479" t="s">
        <v>178</v>
      </c>
      <c r="C100" s="480"/>
      <c r="D100" s="309">
        <f>IF(D99="","",D99*0.000247105)</f>
        <v>0</v>
      </c>
      <c r="E100" s="309">
        <f t="shared" ref="E100:L100" si="14">IF(E99="","",E99*0.000247105)</f>
        <v>0</v>
      </c>
      <c r="F100" s="309">
        <f t="shared" si="14"/>
        <v>0</v>
      </c>
      <c r="G100" s="310">
        <f t="shared" si="14"/>
        <v>0</v>
      </c>
      <c r="H100" s="310">
        <f t="shared" si="14"/>
        <v>0</v>
      </c>
      <c r="I100" s="310">
        <f t="shared" si="14"/>
        <v>0</v>
      </c>
      <c r="J100" s="309">
        <f t="shared" si="14"/>
        <v>0</v>
      </c>
      <c r="K100" s="309">
        <f t="shared" si="14"/>
        <v>0</v>
      </c>
      <c r="L100" s="309">
        <f t="shared" si="14"/>
        <v>0</v>
      </c>
    </row>
    <row r="101" spans="2:15" s="18" customFormat="1" x14ac:dyDescent="0.25"/>
    <row r="102" spans="2:15" s="18" customFormat="1" x14ac:dyDescent="0.25">
      <c r="B102" s="259"/>
      <c r="C102" s="259"/>
      <c r="D102" s="68"/>
      <c r="E102" s="68"/>
      <c r="F102" s="68"/>
    </row>
    <row r="103" spans="2:15" s="18" customFormat="1" ht="15.75" x14ac:dyDescent="0.25">
      <c r="B103" s="476" t="s">
        <v>295</v>
      </c>
      <c r="C103" s="477"/>
      <c r="D103" s="477"/>
      <c r="E103" s="477"/>
      <c r="F103" s="477"/>
      <c r="G103" s="478"/>
      <c r="J103" s="519" t="s">
        <v>176</v>
      </c>
      <c r="K103" s="520"/>
      <c r="L103" s="520"/>
      <c r="M103" s="520"/>
      <c r="N103" s="520"/>
      <c r="O103" s="521"/>
    </row>
    <row r="104" spans="2:15" s="18" customFormat="1" ht="31.5" x14ac:dyDescent="0.25">
      <c r="B104" s="278"/>
      <c r="C104" s="215"/>
      <c r="D104" s="215"/>
      <c r="E104" s="211" t="s">
        <v>13</v>
      </c>
      <c r="F104" s="213" t="s">
        <v>11</v>
      </c>
      <c r="G104" s="211" t="s">
        <v>12</v>
      </c>
      <c r="J104" s="523" t="s">
        <v>383</v>
      </c>
      <c r="K104" s="524"/>
      <c r="L104" s="524"/>
      <c r="M104" s="524"/>
      <c r="N104" s="525"/>
      <c r="O104" s="178" t="s">
        <v>278</v>
      </c>
    </row>
    <row r="105" spans="2:15" s="18" customFormat="1" ht="15.75" x14ac:dyDescent="0.25">
      <c r="B105" s="470" t="s">
        <v>260</v>
      </c>
      <c r="C105" s="471"/>
      <c r="D105" s="472"/>
      <c r="E105" s="212">
        <f>IF(AND(D100="", E100="",F100=""),"",MAX($D$100:$F$100))</f>
        <v>0</v>
      </c>
      <c r="F105" s="214">
        <f>IF(AND(G100="",H100="",I100=""),"",MAX($G$100:$I$100))</f>
        <v>0</v>
      </c>
      <c r="G105" s="212">
        <f>IF(AND(J100="",K100="",L100=""),"",MAX($J$100:$L$100))</f>
        <v>0</v>
      </c>
      <c r="J105" s="411" t="str">
        <f>IF(Passage_Status = "","",Passage_Status)</f>
        <v/>
      </c>
      <c r="K105" s="412"/>
      <c r="L105" s="412"/>
      <c r="M105" s="412"/>
      <c r="N105" s="413"/>
      <c r="O105" s="181" t="str">
        <f>IF(Passage_Status="","",VLOOKUP(J105,'Dropdown lists'!$F$16:$G$19,2,FALSE))</f>
        <v/>
      </c>
    </row>
    <row r="106" spans="2:15" s="18" customFormat="1" ht="15.75" x14ac:dyDescent="0.25">
      <c r="B106" s="470" t="s">
        <v>261</v>
      </c>
      <c r="C106" s="471"/>
      <c r="D106" s="472"/>
      <c r="E106" s="212">
        <f>IF(AND(D100="", E100="",F100=""),"",MIN($D$100:$F$100))</f>
        <v>0</v>
      </c>
      <c r="F106" s="214">
        <f>IF(AND(G100="",H100="",I100=""),"",MIN($G$100:$I$100))</f>
        <v>0</v>
      </c>
      <c r="G106" s="212">
        <f>IF(AND(J100="",K100="",L100=""),"",MIN($J$100:$L$100))</f>
        <v>0</v>
      </c>
      <c r="J106" s="526" t="s">
        <v>280</v>
      </c>
      <c r="K106" s="526"/>
      <c r="L106" s="526"/>
      <c r="M106" s="526"/>
      <c r="N106" s="526"/>
      <c r="O106" s="526"/>
    </row>
    <row r="107" spans="2:15" s="18" customFormat="1" ht="15.75" x14ac:dyDescent="0.25">
      <c r="B107" s="106"/>
      <c r="C107" s="106"/>
      <c r="D107" s="106"/>
      <c r="E107" s="179"/>
      <c r="F107" s="179"/>
      <c r="G107" s="179"/>
      <c r="J107" s="527"/>
      <c r="K107" s="527"/>
      <c r="L107" s="527"/>
      <c r="M107" s="527"/>
      <c r="N107" s="527"/>
      <c r="O107" s="527"/>
    </row>
    <row r="108" spans="2:15" s="18" customFormat="1" x14ac:dyDescent="0.25">
      <c r="D108" s="68"/>
      <c r="E108" s="68"/>
      <c r="F108" s="68"/>
      <c r="I108" s="35"/>
      <c r="J108" s="527"/>
      <c r="K108" s="527"/>
      <c r="L108" s="527"/>
      <c r="M108" s="527"/>
      <c r="N108" s="527"/>
      <c r="O108" s="527"/>
    </row>
    <row r="109" spans="2:15" s="18" customFormat="1" ht="15.75" x14ac:dyDescent="0.25">
      <c r="B109" s="476" t="s">
        <v>293</v>
      </c>
      <c r="C109" s="477"/>
      <c r="D109" s="477"/>
      <c r="E109" s="477"/>
      <c r="F109" s="477"/>
      <c r="G109" s="478"/>
    </row>
    <row r="110" spans="2:15" s="18" customFormat="1" ht="31.5" x14ac:dyDescent="0.25">
      <c r="B110" s="481"/>
      <c r="C110" s="494"/>
      <c r="D110" s="482"/>
      <c r="E110" s="211" t="s">
        <v>13</v>
      </c>
      <c r="F110" s="213" t="s">
        <v>11</v>
      </c>
      <c r="G110" s="211" t="s">
        <v>12</v>
      </c>
      <c r="H110" s="54"/>
      <c r="I110" s="105"/>
      <c r="J110" s="105"/>
      <c r="K110" s="105"/>
    </row>
    <row r="111" spans="2:15" s="18" customFormat="1" ht="15.75" x14ac:dyDescent="0.25">
      <c r="B111" s="470" t="s">
        <v>263</v>
      </c>
      <c r="C111" s="471"/>
      <c r="D111" s="472"/>
      <c r="E111" s="212">
        <f>IF(E105="","",IF(E105=0,0,E105*$O$105))</f>
        <v>0</v>
      </c>
      <c r="F111" s="212">
        <f t="shared" ref="F111:G112" si="15">IF(F105="","",IF(F105=0,0,F105*$O$105))</f>
        <v>0</v>
      </c>
      <c r="G111" s="212">
        <f t="shared" si="15"/>
        <v>0</v>
      </c>
      <c r="H111" s="54"/>
    </row>
    <row r="112" spans="2:15" s="18" customFormat="1" ht="15.75" x14ac:dyDescent="0.25">
      <c r="B112" s="470" t="s">
        <v>262</v>
      </c>
      <c r="C112" s="471"/>
      <c r="D112" s="472"/>
      <c r="E112" s="212">
        <f>IF(E106="","",IF(E106=0,0,E106*$O$105))</f>
        <v>0</v>
      </c>
      <c r="F112" s="212">
        <f t="shared" si="15"/>
        <v>0</v>
      </c>
      <c r="G112" s="212">
        <f t="shared" si="15"/>
        <v>0</v>
      </c>
      <c r="H112" s="54"/>
    </row>
    <row r="113" spans="8:8" s="18" customFormat="1" x14ac:dyDescent="0.25">
      <c r="H113" s="54"/>
    </row>
    <row r="114" spans="8:8" s="18" customFormat="1" x14ac:dyDescent="0.25"/>
    <row r="115" spans="8:8" s="18" customFormat="1" x14ac:dyDescent="0.25"/>
    <row r="116" spans="8:8" s="18" customFormat="1" x14ac:dyDescent="0.25"/>
    <row r="117" spans="8:8" s="18" customFormat="1" x14ac:dyDescent="0.25"/>
  </sheetData>
  <mergeCells count="49">
    <mergeCell ref="B41:L41"/>
    <mergeCell ref="O9:P9"/>
    <mergeCell ref="J12:N12"/>
    <mergeCell ref="O12:Q12"/>
    <mergeCell ref="L8:M8"/>
    <mergeCell ref="L9:M9"/>
    <mergeCell ref="J9:K9"/>
    <mergeCell ref="E9:I9"/>
    <mergeCell ref="B9:C9"/>
    <mergeCell ref="B8:C8"/>
    <mergeCell ref="E8:I8"/>
    <mergeCell ref="J103:O103"/>
    <mergeCell ref="B71:L71"/>
    <mergeCell ref="J104:N104"/>
    <mergeCell ref="J105:N105"/>
    <mergeCell ref="J106:O108"/>
    <mergeCell ref="K2:L2"/>
    <mergeCell ref="O6:P6"/>
    <mergeCell ref="O7:P7"/>
    <mergeCell ref="O8:P8"/>
    <mergeCell ref="J8:K8"/>
    <mergeCell ref="L6:M6"/>
    <mergeCell ref="L7:M7"/>
    <mergeCell ref="S6:X9"/>
    <mergeCell ref="B3:H3"/>
    <mergeCell ref="B5:P5"/>
    <mergeCell ref="J3:P3"/>
    <mergeCell ref="B6:C6"/>
    <mergeCell ref="B7:C7"/>
    <mergeCell ref="J6:K6"/>
    <mergeCell ref="J7:K7"/>
    <mergeCell ref="E6:I6"/>
    <mergeCell ref="E7:I7"/>
    <mergeCell ref="B111:D111"/>
    <mergeCell ref="B112:D112"/>
    <mergeCell ref="B11:Q11"/>
    <mergeCell ref="B103:G103"/>
    <mergeCell ref="B109:G109"/>
    <mergeCell ref="B100:C100"/>
    <mergeCell ref="B99:C99"/>
    <mergeCell ref="B105:D105"/>
    <mergeCell ref="B106:D106"/>
    <mergeCell ref="D12:F12"/>
    <mergeCell ref="G12:I12"/>
    <mergeCell ref="C12:C13"/>
    <mergeCell ref="B12:B13"/>
    <mergeCell ref="C69:L69"/>
    <mergeCell ref="B42:L42"/>
    <mergeCell ref="B110:D110"/>
  </mergeCells>
  <printOptions horizontalCentered="1"/>
  <pageMargins left="0.25" right="0.25" top="0.75" bottom="0.75" header="0.3" footer="0.3"/>
  <pageSetup scale="56"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topLeftCell="B28" zoomScale="75" zoomScaleNormal="75" workbookViewId="0">
      <selection activeCell="H38" sqref="H38"/>
    </sheetView>
  </sheetViews>
  <sheetFormatPr defaultRowHeight="15" x14ac:dyDescent="0.25"/>
  <cols>
    <col min="1" max="1" width="4.7109375" style="18" customWidth="1"/>
    <col min="2" max="2" width="5.5703125" customWidth="1"/>
    <col min="3" max="3" width="8.140625" customWidth="1"/>
    <col min="4" max="4" width="8" customWidth="1"/>
    <col min="5" max="5" width="8.42578125" customWidth="1"/>
    <col min="6" max="6" width="66.5703125" customWidth="1"/>
    <col min="8" max="8" width="18.28515625" customWidth="1"/>
    <col min="9" max="9" width="53.85546875" customWidth="1"/>
  </cols>
  <sheetData>
    <row r="1" spans="2:16" s="19" customFormat="1" ht="30" customHeight="1" x14ac:dyDescent="0.25">
      <c r="B1" s="173" t="str">
        <f>CONCATENATE('Cover Page'!B1:L1," ", 'Cover Page'!B2:L2," - WEBSITE and REFERENCES")</f>
        <v>FISH PASSAGE CREDIT CALCULATOR Version 1.1 - WEBSITE and REFERENCES</v>
      </c>
      <c r="C1" s="62"/>
      <c r="D1" s="62"/>
      <c r="E1" s="62"/>
      <c r="F1" s="56"/>
      <c r="G1" s="56"/>
      <c r="H1" s="56"/>
      <c r="P1" s="191"/>
    </row>
    <row r="2" spans="2:16" s="18" customFormat="1" ht="21" x14ac:dyDescent="0.35">
      <c r="B2" s="74"/>
      <c r="H2" s="27" t="s">
        <v>220</v>
      </c>
      <c r="I2"/>
    </row>
    <row r="3" spans="2:16" s="18" customFormat="1" x14ac:dyDescent="0.25">
      <c r="B3" s="27" t="s">
        <v>365</v>
      </c>
      <c r="H3" s="82" t="s">
        <v>221</v>
      </c>
      <c r="I3" s="84" t="s">
        <v>3</v>
      </c>
    </row>
    <row r="4" spans="2:16" s="18" customFormat="1" ht="30" x14ac:dyDescent="0.35">
      <c r="B4" s="74"/>
      <c r="C4" s="5" t="s">
        <v>367</v>
      </c>
      <c r="H4" s="85" t="s">
        <v>60</v>
      </c>
      <c r="I4" s="86" t="s">
        <v>370</v>
      </c>
    </row>
    <row r="5" spans="2:16" s="18" customFormat="1" ht="30" x14ac:dyDescent="0.35">
      <c r="B5" s="74"/>
      <c r="C5" s="5" t="s">
        <v>368</v>
      </c>
      <c r="H5" s="85" t="s">
        <v>70</v>
      </c>
      <c r="I5" s="86" t="s">
        <v>369</v>
      </c>
    </row>
    <row r="6" spans="2:16" s="18" customFormat="1" x14ac:dyDescent="0.25">
      <c r="H6" s="85" t="s">
        <v>69</v>
      </c>
      <c r="I6" s="86" t="s">
        <v>222</v>
      </c>
    </row>
    <row r="7" spans="2:16" ht="30" x14ac:dyDescent="0.25">
      <c r="B7" s="4" t="s">
        <v>22</v>
      </c>
      <c r="H7" s="85" t="s">
        <v>62</v>
      </c>
      <c r="I7" s="86" t="s">
        <v>371</v>
      </c>
    </row>
    <row r="8" spans="2:16" ht="14.45" x14ac:dyDescent="0.3">
      <c r="C8" s="5" t="s">
        <v>75</v>
      </c>
      <c r="H8" s="85" t="s">
        <v>63</v>
      </c>
      <c r="I8" s="86" t="s">
        <v>402</v>
      </c>
    </row>
    <row r="9" spans="2:16" ht="29.25" customHeight="1" x14ac:dyDescent="0.25">
      <c r="C9" s="5" t="s">
        <v>246</v>
      </c>
      <c r="H9" s="85" t="s">
        <v>73</v>
      </c>
      <c r="I9" s="86" t="s">
        <v>372</v>
      </c>
    </row>
    <row r="10" spans="2:16" s="18" customFormat="1" ht="30" x14ac:dyDescent="0.25">
      <c r="H10" s="85" t="s">
        <v>374</v>
      </c>
      <c r="I10" s="86" t="s">
        <v>373</v>
      </c>
    </row>
    <row r="11" spans="2:16" x14ac:dyDescent="0.25">
      <c r="B11" s="4" t="s">
        <v>48</v>
      </c>
      <c r="H11" s="85" t="s">
        <v>61</v>
      </c>
      <c r="I11" s="86" t="s">
        <v>375</v>
      </c>
    </row>
    <row r="12" spans="2:16" x14ac:dyDescent="0.25">
      <c r="B12" s="4"/>
      <c r="C12" s="5" t="s">
        <v>47</v>
      </c>
      <c r="H12" s="85" t="s">
        <v>64</v>
      </c>
      <c r="I12" s="86" t="s">
        <v>376</v>
      </c>
    </row>
    <row r="13" spans="2:16" s="18" customFormat="1" ht="80.099999999999994" customHeight="1" x14ac:dyDescent="0.25">
      <c r="C13" s="531" t="s">
        <v>87</v>
      </c>
      <c r="D13" s="531"/>
      <c r="E13" s="531"/>
      <c r="F13" s="531"/>
      <c r="H13" s="85" t="s">
        <v>65</v>
      </c>
      <c r="I13" s="86" t="s">
        <v>54</v>
      </c>
    </row>
    <row r="14" spans="2:16" s="18" customFormat="1" ht="69.95" customHeight="1" x14ac:dyDescent="0.25">
      <c r="C14" s="531" t="s">
        <v>88</v>
      </c>
      <c r="D14" s="531"/>
      <c r="E14" s="531"/>
      <c r="F14" s="531"/>
      <c r="H14" s="85" t="s">
        <v>66</v>
      </c>
      <c r="I14" s="86" t="s">
        <v>377</v>
      </c>
    </row>
    <row r="15" spans="2:16" s="18" customFormat="1" ht="50.1" customHeight="1" x14ac:dyDescent="0.25">
      <c r="C15" s="531" t="s">
        <v>89</v>
      </c>
      <c r="D15" s="531"/>
      <c r="E15" s="531"/>
      <c r="F15" s="531"/>
      <c r="H15" s="85" t="s">
        <v>68</v>
      </c>
      <c r="I15" s="86" t="s">
        <v>378</v>
      </c>
    </row>
    <row r="16" spans="2:16" s="18" customFormat="1" ht="54.95" customHeight="1" x14ac:dyDescent="0.25">
      <c r="C16" s="531" t="s">
        <v>90</v>
      </c>
      <c r="D16" s="531"/>
      <c r="E16" s="531"/>
      <c r="F16" s="531"/>
    </row>
    <row r="17" spans="2:9" s="18" customFormat="1" ht="39.950000000000003" customHeight="1" x14ac:dyDescent="0.25">
      <c r="C17" s="531" t="s">
        <v>91</v>
      </c>
      <c r="D17" s="531"/>
      <c r="E17" s="531"/>
      <c r="F17" s="531"/>
      <c r="H17"/>
      <c r="I17"/>
    </row>
    <row r="19" spans="2:9" x14ac:dyDescent="0.25">
      <c r="B19" s="4" t="s">
        <v>23</v>
      </c>
    </row>
    <row r="20" spans="2:9" x14ac:dyDescent="0.25">
      <c r="C20" s="5" t="s">
        <v>21</v>
      </c>
    </row>
    <row r="21" spans="2:9" x14ac:dyDescent="0.25">
      <c r="C21" s="5" t="s">
        <v>24</v>
      </c>
      <c r="H21" s="18"/>
      <c r="I21" s="18"/>
    </row>
    <row r="22" spans="2:9" s="18" customFormat="1" x14ac:dyDescent="0.25">
      <c r="H22"/>
      <c r="I22"/>
    </row>
    <row r="23" spans="2:9" x14ac:dyDescent="0.25">
      <c r="B23" s="27" t="s">
        <v>25</v>
      </c>
    </row>
    <row r="24" spans="2:9" x14ac:dyDescent="0.25">
      <c r="C24" s="6" t="s">
        <v>92</v>
      </c>
    </row>
    <row r="25" spans="2:9" ht="14.45" x14ac:dyDescent="0.3">
      <c r="B25" s="7"/>
    </row>
    <row r="26" spans="2:9" ht="14.45" x14ac:dyDescent="0.3">
      <c r="B26" s="27" t="s">
        <v>244</v>
      </c>
      <c r="H26" s="88"/>
      <c r="I26" s="89"/>
    </row>
    <row r="27" spans="2:9" s="18" customFormat="1" ht="14.45" x14ac:dyDescent="0.3">
      <c r="C27" s="5" t="s">
        <v>245</v>
      </c>
      <c r="H27" s="88"/>
      <c r="I27" s="89"/>
    </row>
    <row r="28" spans="2:9" s="18" customFormat="1" ht="14.45" x14ac:dyDescent="0.3">
      <c r="H28"/>
      <c r="I28"/>
    </row>
    <row r="29" spans="2:9" ht="18" x14ac:dyDescent="0.35">
      <c r="B29" s="75" t="s">
        <v>42</v>
      </c>
    </row>
    <row r="30" spans="2:9" ht="75" customHeight="1" x14ac:dyDescent="0.3">
      <c r="C30" s="315" t="s">
        <v>93</v>
      </c>
      <c r="D30" s="315"/>
      <c r="E30" s="315"/>
      <c r="F30" s="315"/>
    </row>
    <row r="31" spans="2:9" ht="50.1" customHeight="1" x14ac:dyDescent="0.25">
      <c r="C31" s="315" t="s">
        <v>379</v>
      </c>
      <c r="D31" s="315"/>
      <c r="E31" s="315"/>
      <c r="F31" s="315"/>
    </row>
    <row r="32" spans="2:9" s="18" customFormat="1" ht="50.1" customHeight="1" x14ac:dyDescent="0.3">
      <c r="C32" s="315" t="s">
        <v>381</v>
      </c>
      <c r="D32" s="315"/>
      <c r="E32" s="315"/>
      <c r="F32" s="315"/>
    </row>
    <row r="33" spans="3:6" ht="50.1" customHeight="1" x14ac:dyDescent="0.3">
      <c r="C33" s="315" t="s">
        <v>43</v>
      </c>
      <c r="D33" s="315"/>
      <c r="E33" s="315"/>
      <c r="F33" s="315"/>
    </row>
    <row r="34" spans="3:6" s="18" customFormat="1" ht="64.900000000000006" customHeight="1" x14ac:dyDescent="0.3">
      <c r="C34" s="315" t="s">
        <v>403</v>
      </c>
      <c r="D34" s="315"/>
      <c r="E34" s="315"/>
      <c r="F34" s="315"/>
    </row>
    <row r="35" spans="3:6" ht="36.6" customHeight="1" x14ac:dyDescent="0.3">
      <c r="C35" s="315" t="s">
        <v>44</v>
      </c>
      <c r="D35" s="315"/>
      <c r="E35" s="315"/>
      <c r="F35" s="315"/>
    </row>
    <row r="36" spans="3:6" ht="35.1" customHeight="1" x14ac:dyDescent="0.3">
      <c r="C36" s="315" t="s">
        <v>45</v>
      </c>
      <c r="D36" s="315"/>
      <c r="E36" s="315"/>
      <c r="F36" s="315"/>
    </row>
    <row r="37" spans="3:6" ht="50.1" customHeight="1" x14ac:dyDescent="0.3">
      <c r="C37" s="315" t="s">
        <v>46</v>
      </c>
      <c r="D37" s="315"/>
      <c r="E37" s="315"/>
      <c r="F37" s="315"/>
    </row>
    <row r="38" spans="3:6" ht="50.1" customHeight="1" x14ac:dyDescent="0.3">
      <c r="C38" s="315" t="s">
        <v>49</v>
      </c>
      <c r="D38" s="315"/>
      <c r="E38" s="315"/>
      <c r="F38" s="315"/>
    </row>
    <row r="39" spans="3:6" s="18" customFormat="1" ht="65.099999999999994" customHeight="1" x14ac:dyDescent="0.3">
      <c r="C39" s="315" t="s">
        <v>380</v>
      </c>
      <c r="D39" s="315"/>
      <c r="E39" s="315"/>
      <c r="F39" s="315"/>
    </row>
    <row r="40" spans="3:6" s="18" customFormat="1" ht="35.1" customHeight="1" x14ac:dyDescent="0.3">
      <c r="C40" s="315" t="s">
        <v>382</v>
      </c>
      <c r="D40" s="315"/>
      <c r="E40" s="315"/>
      <c r="F40" s="315"/>
    </row>
    <row r="41" spans="3:6" ht="80.099999999999994" customHeight="1" x14ac:dyDescent="0.3">
      <c r="C41" s="315" t="s">
        <v>50</v>
      </c>
      <c r="D41" s="315"/>
      <c r="E41" s="315"/>
      <c r="F41" s="315"/>
    </row>
  </sheetData>
  <mergeCells count="17">
    <mergeCell ref="C31:F31"/>
    <mergeCell ref="C32:F32"/>
    <mergeCell ref="C38:F38"/>
    <mergeCell ref="C39:F39"/>
    <mergeCell ref="C41:F41"/>
    <mergeCell ref="C33:F33"/>
    <mergeCell ref="C35:F35"/>
    <mergeCell ref="C36:F36"/>
    <mergeCell ref="C37:F37"/>
    <mergeCell ref="C40:F40"/>
    <mergeCell ref="C34:F34"/>
    <mergeCell ref="C30:F30"/>
    <mergeCell ref="C13:F13"/>
    <mergeCell ref="C14:F14"/>
    <mergeCell ref="C15:F15"/>
    <mergeCell ref="C16:F16"/>
    <mergeCell ref="C17:F17"/>
  </mergeCells>
  <hyperlinks>
    <hyperlink ref="C24" r:id="rId1" display="http://www.dfw.state.or.us/wildlife/diversity/species/threatened_endangered_candidate_list.asp"/>
    <hyperlink ref="C21" r:id="rId2"/>
    <hyperlink ref="C20" r:id="rId3"/>
    <hyperlink ref="C8" r:id="rId4"/>
    <hyperlink ref="C27" r:id="rId5"/>
    <hyperlink ref="C9" r:id="rId6"/>
    <hyperlink ref="C12" r:id="rId7"/>
    <hyperlink ref="C4" r:id="rId8"/>
  </hyperlinks>
  <printOptions horizontalCentered="1"/>
  <pageMargins left="0.25" right="0.25" top="0.5" bottom="0.5" header="0.3" footer="0.3"/>
  <pageSetup scale="51" orientation="portrait" r:id="rId9"/>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topLeftCell="A7" zoomScale="75" zoomScaleNormal="75" workbookViewId="0">
      <selection activeCell="B1" sqref="B1"/>
    </sheetView>
  </sheetViews>
  <sheetFormatPr defaultRowHeight="15" x14ac:dyDescent="0.25"/>
  <cols>
    <col min="1" max="1" width="4.7109375" style="18" customWidth="1"/>
    <col min="2" max="2" width="120.85546875" customWidth="1"/>
    <col min="3" max="3" width="12.7109375" customWidth="1"/>
    <col min="9" max="9" width="11.28515625" bestFit="1" customWidth="1"/>
    <col min="11" max="11" width="10.28515625" bestFit="1" customWidth="1"/>
    <col min="12" max="12" width="10" bestFit="1" customWidth="1"/>
    <col min="13" max="13" width="11" bestFit="1" customWidth="1"/>
    <col min="14" max="14" width="5.7109375" bestFit="1" customWidth="1"/>
    <col min="15" max="15" width="6.7109375" bestFit="1" customWidth="1"/>
    <col min="16" max="16" width="7.28515625" bestFit="1" customWidth="1"/>
    <col min="17" max="17" width="8" bestFit="1" customWidth="1"/>
    <col min="18" max="18" width="10.5703125" bestFit="1" customWidth="1"/>
    <col min="20" max="20" width="10.7109375" bestFit="1" customWidth="1"/>
    <col min="21" max="21" width="11.140625" bestFit="1" customWidth="1"/>
    <col min="22" max="22" width="14.5703125" bestFit="1" customWidth="1"/>
    <col min="23" max="23" width="17.28515625" bestFit="1" customWidth="1"/>
  </cols>
  <sheetData>
    <row r="1" spans="2:24" s="18" customFormat="1" ht="30" customHeight="1" x14ac:dyDescent="0.25">
      <c r="B1" s="173" t="str">
        <f>CONCATENATE('Cover Page'!B1:L1," ", 'Cover Page'!B2:L2," - HabRate SUMMARY")</f>
        <v>FISH PASSAGE CREDIT CALCULATOR Version 1.1 - HabRate SUMMARY</v>
      </c>
    </row>
    <row r="2" spans="2:24" s="18" customFormat="1" ht="21" x14ac:dyDescent="0.35">
      <c r="B2" s="74"/>
    </row>
    <row r="3" spans="2:24" ht="18" x14ac:dyDescent="0.25">
      <c r="B3" s="272" t="s">
        <v>36</v>
      </c>
      <c r="C3" s="273"/>
    </row>
    <row r="4" spans="2:24" ht="18" x14ac:dyDescent="0.25">
      <c r="B4" s="272" t="s">
        <v>37</v>
      </c>
      <c r="C4" s="274"/>
      <c r="M4" s="9"/>
      <c r="N4" s="13"/>
      <c r="O4" s="13"/>
      <c r="P4" s="13"/>
      <c r="Q4" s="13"/>
      <c r="R4" s="13"/>
      <c r="S4" s="13"/>
      <c r="T4" s="13"/>
      <c r="U4" s="13"/>
      <c r="V4" s="13"/>
      <c r="W4" s="13"/>
      <c r="X4" s="13"/>
    </row>
    <row r="5" spans="2:24" ht="80.099999999999994" customHeight="1" x14ac:dyDescent="0.25">
      <c r="B5" s="275" t="s">
        <v>38</v>
      </c>
      <c r="C5" s="276"/>
      <c r="D5" s="4"/>
      <c r="F5" s="10"/>
      <c r="G5" s="10"/>
      <c r="H5" s="10"/>
      <c r="I5" s="10"/>
      <c r="J5" s="11"/>
      <c r="K5" s="11"/>
      <c r="L5" s="11"/>
      <c r="M5" s="11"/>
      <c r="N5" s="13"/>
      <c r="O5" s="13"/>
      <c r="P5" s="13"/>
      <c r="Q5" s="13"/>
      <c r="R5" s="13"/>
      <c r="S5" s="13"/>
      <c r="T5" s="13"/>
      <c r="U5" s="13"/>
      <c r="V5" s="13"/>
      <c r="W5" s="13"/>
      <c r="X5" s="13"/>
    </row>
    <row r="6" spans="2:24" x14ac:dyDescent="0.25">
      <c r="F6" s="12"/>
      <c r="G6" s="12"/>
      <c r="H6" s="12"/>
      <c r="I6" s="12"/>
      <c r="J6" s="13"/>
      <c r="K6" s="13"/>
      <c r="L6" s="13"/>
      <c r="M6" s="13"/>
      <c r="N6" s="13"/>
      <c r="O6" s="13"/>
      <c r="P6" s="13"/>
      <c r="Q6" s="13"/>
      <c r="R6" s="13"/>
      <c r="S6" s="13"/>
      <c r="T6" s="14"/>
      <c r="U6" s="12"/>
      <c r="V6" s="12"/>
      <c r="W6" s="10"/>
    </row>
    <row r="7" spans="2:24" ht="399.95" customHeight="1" x14ac:dyDescent="0.25">
      <c r="B7" s="277" t="s">
        <v>39</v>
      </c>
    </row>
    <row r="8" spans="2:24" ht="45" x14ac:dyDescent="0.25">
      <c r="B8" s="8" t="s">
        <v>40</v>
      </c>
    </row>
    <row r="9" spans="2:24" x14ac:dyDescent="0.25">
      <c r="B9" s="5" t="s">
        <v>187</v>
      </c>
    </row>
    <row r="11" spans="2:24" ht="60" customHeight="1" x14ac:dyDescent="0.25">
      <c r="B11" s="16" t="s">
        <v>94</v>
      </c>
    </row>
  </sheetData>
  <hyperlinks>
    <hyperlink ref="B9" r:id="rId1"/>
  </hyperlinks>
  <pageMargins left="0.5" right="0.5" top="0.5" bottom="0.5" header="0.3" footer="0.3"/>
  <pageSetup orientation="portrait" r:id="rId2"/>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56"/>
  <sheetViews>
    <sheetView topLeftCell="A7" zoomScale="75" zoomScaleNormal="75" workbookViewId="0">
      <selection activeCell="B2" sqref="B2"/>
    </sheetView>
  </sheetViews>
  <sheetFormatPr defaultColWidth="9.140625" defaultRowHeight="15.75" x14ac:dyDescent="0.25"/>
  <cols>
    <col min="1" max="1" width="4.7109375" style="91" customWidth="1"/>
    <col min="2" max="2" width="9.140625" style="91"/>
    <col min="3" max="3" width="21.5703125" style="91" bestFit="1" customWidth="1"/>
    <col min="4" max="4" width="9.140625" style="91"/>
    <col min="5" max="5" width="10.140625" style="91" bestFit="1" customWidth="1"/>
    <col min="6" max="6" width="29.42578125" style="91" customWidth="1"/>
    <col min="7" max="7" width="19.5703125" style="91" customWidth="1"/>
    <col min="8" max="8" width="9.42578125" style="91" customWidth="1"/>
    <col min="9" max="9" width="14.85546875" style="91" customWidth="1"/>
    <col min="10" max="10" width="12.5703125" style="91" customWidth="1"/>
    <col min="11" max="11" width="4.140625" style="91" customWidth="1"/>
    <col min="12" max="12" width="14.5703125" style="91" customWidth="1"/>
    <col min="13" max="13" width="9.140625" style="91"/>
    <col min="14" max="14" width="4.28515625" style="91" customWidth="1"/>
    <col min="15" max="15" width="14.140625" style="91" customWidth="1"/>
    <col min="16" max="16" width="9.140625" style="91"/>
    <col min="17" max="17" width="6.5703125" style="91" customWidth="1"/>
    <col min="18" max="18" width="22.42578125" style="91" customWidth="1"/>
    <col min="19" max="16384" width="9.140625" style="91"/>
  </cols>
  <sheetData>
    <row r="1" spans="2:17" s="19" customFormat="1" ht="30" customHeight="1" x14ac:dyDescent="0.25">
      <c r="B1" s="173" t="str">
        <f>CONCATENATE('Cover Page'!B1:L1," ", 'Cover Page'!B2:L2," - DROPDOWN LISTS")</f>
        <v>FISH PASSAGE CREDIT CALCULATOR Version 1.1 - DROPDOWN LISTS</v>
      </c>
      <c r="D1" s="57"/>
      <c r="E1" s="56"/>
      <c r="F1" s="56"/>
      <c r="G1" s="56"/>
      <c r="H1" s="56"/>
      <c r="I1" s="56"/>
      <c r="Q1" s="191"/>
    </row>
    <row r="2" spans="2:17" s="19" customFormat="1" ht="12.75" customHeight="1" x14ac:dyDescent="0.25">
      <c r="B2" s="173"/>
      <c r="D2" s="57"/>
      <c r="E2" s="56"/>
      <c r="F2" s="56"/>
      <c r="G2" s="56"/>
      <c r="H2" s="56"/>
      <c r="I2" s="56"/>
      <c r="Q2" s="191"/>
    </row>
    <row r="3" spans="2:17" ht="16.5" customHeight="1" x14ac:dyDescent="0.25">
      <c r="B3" s="225" t="s">
        <v>150</v>
      </c>
      <c r="C3" s="226"/>
      <c r="D3" s="226"/>
      <c r="E3" s="226"/>
      <c r="F3" s="226"/>
    </row>
    <row r="5" spans="2:17" x14ac:dyDescent="0.25">
      <c r="C5" s="227" t="s">
        <v>296</v>
      </c>
      <c r="D5" s="227"/>
      <c r="E5" s="227"/>
      <c r="F5" s="227"/>
    </row>
    <row r="6" spans="2:17" x14ac:dyDescent="0.25">
      <c r="C6" s="228"/>
      <c r="D6" s="229"/>
      <c r="E6" s="228"/>
      <c r="F6" s="228"/>
      <c r="G6" s="228"/>
    </row>
    <row r="7" spans="2:17" x14ac:dyDescent="0.25">
      <c r="C7" s="230" t="s">
        <v>297</v>
      </c>
      <c r="D7" s="532" t="s">
        <v>302</v>
      </c>
      <c r="E7" s="532"/>
      <c r="F7" s="231"/>
      <c r="G7" s="231"/>
      <c r="H7" s="229"/>
      <c r="I7" s="229"/>
    </row>
    <row r="8" spans="2:17" x14ac:dyDescent="0.25">
      <c r="C8" s="230"/>
      <c r="D8" s="533"/>
      <c r="E8" s="534"/>
      <c r="F8" s="231"/>
      <c r="G8" s="231"/>
      <c r="H8" s="229"/>
      <c r="I8" s="229"/>
    </row>
    <row r="9" spans="2:17" x14ac:dyDescent="0.25">
      <c r="C9" s="232" t="s">
        <v>298</v>
      </c>
      <c r="D9" s="532" t="s">
        <v>300</v>
      </c>
      <c r="E9" s="532"/>
      <c r="F9" s="233"/>
      <c r="G9" s="234"/>
      <c r="H9" s="229"/>
      <c r="I9" s="231"/>
      <c r="L9" s="228"/>
    </row>
    <row r="10" spans="2:17" x14ac:dyDescent="0.25">
      <c r="C10" s="232" t="s">
        <v>299</v>
      </c>
      <c r="D10" s="532" t="s">
        <v>301</v>
      </c>
      <c r="E10" s="532"/>
      <c r="F10" s="233"/>
      <c r="G10" s="234"/>
      <c r="H10" s="229"/>
      <c r="I10" s="229"/>
      <c r="L10" s="228"/>
    </row>
    <row r="11" spans="2:17" x14ac:dyDescent="0.25">
      <c r="D11" s="95"/>
    </row>
    <row r="12" spans="2:17" x14ac:dyDescent="0.25">
      <c r="C12" s="227" t="s">
        <v>308</v>
      </c>
      <c r="D12" s="227"/>
      <c r="E12" s="227"/>
      <c r="F12" s="227"/>
    </row>
    <row r="13" spans="2:17" x14ac:dyDescent="0.25">
      <c r="C13" s="228"/>
      <c r="D13" s="228"/>
      <c r="E13" s="228"/>
      <c r="F13" s="228"/>
      <c r="G13" s="228"/>
    </row>
    <row r="14" spans="2:17" x14ac:dyDescent="0.25">
      <c r="F14" s="235" t="s">
        <v>277</v>
      </c>
    </row>
    <row r="15" spans="2:17" x14ac:dyDescent="0.25">
      <c r="C15" s="540" t="s">
        <v>20</v>
      </c>
      <c r="D15" s="540"/>
      <c r="F15" s="236" t="s">
        <v>20</v>
      </c>
      <c r="G15" s="237" t="s">
        <v>276</v>
      </c>
      <c r="I15" s="238" t="s">
        <v>17</v>
      </c>
    </row>
    <row r="16" spans="2:17" x14ac:dyDescent="0.25">
      <c r="C16" s="336"/>
      <c r="D16" s="336"/>
      <c r="F16" s="239" t="s">
        <v>16</v>
      </c>
      <c r="G16" s="240">
        <v>1</v>
      </c>
      <c r="I16" s="241"/>
      <c r="L16" s="242"/>
    </row>
    <row r="17" spans="3:15" x14ac:dyDescent="0.25">
      <c r="C17" s="541" t="s">
        <v>16</v>
      </c>
      <c r="D17" s="542"/>
      <c r="F17" s="239" t="s">
        <v>259</v>
      </c>
      <c r="G17" s="240">
        <v>0.8</v>
      </c>
      <c r="I17" s="241" t="s">
        <v>18</v>
      </c>
      <c r="L17" s="228"/>
    </row>
    <row r="18" spans="3:15" x14ac:dyDescent="0.25">
      <c r="C18" s="541" t="s">
        <v>259</v>
      </c>
      <c r="D18" s="542"/>
      <c r="F18" s="239" t="s">
        <v>281</v>
      </c>
      <c r="G18" s="240">
        <v>0.6</v>
      </c>
      <c r="L18" s="228"/>
    </row>
    <row r="19" spans="3:15" x14ac:dyDescent="0.25">
      <c r="C19" s="541" t="s">
        <v>281</v>
      </c>
      <c r="D19" s="542"/>
      <c r="F19" s="239"/>
      <c r="G19" s="237"/>
    </row>
    <row r="21" spans="3:15" x14ac:dyDescent="0.25">
      <c r="C21" s="227" t="s">
        <v>275</v>
      </c>
      <c r="D21" s="227"/>
      <c r="E21" s="227"/>
      <c r="F21" s="227"/>
    </row>
    <row r="22" spans="3:15" x14ac:dyDescent="0.25">
      <c r="C22" s="228"/>
      <c r="D22" s="228"/>
      <c r="E22" s="228"/>
      <c r="F22" s="228"/>
    </row>
    <row r="23" spans="3:15" ht="35.25" customHeight="1" x14ac:dyDescent="0.25">
      <c r="C23" s="538" t="s">
        <v>63</v>
      </c>
      <c r="D23" s="539"/>
      <c r="F23" s="538" t="s">
        <v>125</v>
      </c>
      <c r="G23" s="539"/>
      <c r="I23" s="536" t="s">
        <v>149</v>
      </c>
      <c r="J23" s="537"/>
    </row>
    <row r="24" spans="3:15" x14ac:dyDescent="0.25">
      <c r="C24" s="243" t="s">
        <v>96</v>
      </c>
      <c r="D24" s="243" t="s">
        <v>143</v>
      </c>
      <c r="F24" s="243" t="s">
        <v>96</v>
      </c>
      <c r="G24" s="243" t="s">
        <v>143</v>
      </c>
      <c r="I24" s="244" t="s">
        <v>123</v>
      </c>
      <c r="J24" s="244" t="s">
        <v>124</v>
      </c>
      <c r="K24" s="535"/>
      <c r="L24" s="535"/>
      <c r="M24" s="535"/>
      <c r="N24" s="535"/>
      <c r="O24" s="535"/>
    </row>
    <row r="25" spans="3:15" x14ac:dyDescent="0.25">
      <c r="C25" s="243"/>
      <c r="D25" s="243"/>
      <c r="F25" s="243"/>
      <c r="G25" s="245"/>
      <c r="I25" s="243" t="s">
        <v>120</v>
      </c>
      <c r="J25" s="241">
        <v>1</v>
      </c>
      <c r="L25" s="104"/>
      <c r="M25" s="104"/>
    </row>
    <row r="26" spans="3:15" x14ac:dyDescent="0.25">
      <c r="C26" s="246" t="s">
        <v>138</v>
      </c>
      <c r="D26" s="245">
        <v>1</v>
      </c>
      <c r="F26" s="243" t="s">
        <v>126</v>
      </c>
      <c r="G26" s="245">
        <v>1</v>
      </c>
      <c r="I26" s="243" t="s">
        <v>121</v>
      </c>
      <c r="J26" s="241">
        <v>2</v>
      </c>
      <c r="L26" s="104"/>
      <c r="M26" s="247"/>
    </row>
    <row r="27" spans="3:15" x14ac:dyDescent="0.25">
      <c r="C27" s="246" t="s">
        <v>127</v>
      </c>
      <c r="D27" s="245">
        <v>0.6</v>
      </c>
      <c r="F27" s="243" t="s">
        <v>128</v>
      </c>
      <c r="G27" s="245">
        <v>0.75</v>
      </c>
      <c r="I27" s="243" t="s">
        <v>122</v>
      </c>
      <c r="J27" s="241">
        <v>3</v>
      </c>
      <c r="L27" s="104"/>
      <c r="M27" s="247"/>
    </row>
    <row r="28" spans="3:15" x14ac:dyDescent="0.25">
      <c r="C28" s="246" t="s">
        <v>144</v>
      </c>
      <c r="D28" s="245">
        <v>0.3</v>
      </c>
      <c r="F28" s="243" t="s">
        <v>129</v>
      </c>
      <c r="G28" s="245">
        <v>0.5</v>
      </c>
      <c r="L28" s="248"/>
      <c r="M28" s="247"/>
    </row>
    <row r="29" spans="3:15" x14ac:dyDescent="0.25">
      <c r="C29" s="249" t="s">
        <v>145</v>
      </c>
      <c r="D29" s="245">
        <v>1</v>
      </c>
      <c r="F29" s="243" t="s">
        <v>130</v>
      </c>
      <c r="G29" s="245">
        <v>0.25</v>
      </c>
      <c r="L29" s="104"/>
      <c r="M29" s="247"/>
    </row>
    <row r="30" spans="3:15" x14ac:dyDescent="0.25">
      <c r="F30" s="249" t="s">
        <v>145</v>
      </c>
      <c r="G30" s="250">
        <v>1</v>
      </c>
    </row>
    <row r="33" spans="2:19" x14ac:dyDescent="0.25">
      <c r="C33" s="227" t="s">
        <v>151</v>
      </c>
      <c r="D33" s="227"/>
      <c r="E33" s="227"/>
      <c r="F33" s="227"/>
    </row>
    <row r="34" spans="2:19" x14ac:dyDescent="0.25">
      <c r="C34" s="228"/>
      <c r="D34" s="228"/>
      <c r="E34" s="228"/>
      <c r="F34" s="228"/>
    </row>
    <row r="35" spans="2:19" x14ac:dyDescent="0.25">
      <c r="C35" s="538" t="s">
        <v>273</v>
      </c>
      <c r="D35" s="539"/>
      <c r="F35" s="538" t="s">
        <v>153</v>
      </c>
      <c r="G35" s="539"/>
      <c r="I35" s="538" t="s">
        <v>274</v>
      </c>
      <c r="J35" s="539"/>
    </row>
    <row r="36" spans="2:19" x14ac:dyDescent="0.25">
      <c r="C36" s="243" t="s">
        <v>96</v>
      </c>
      <c r="D36" s="243" t="s">
        <v>143</v>
      </c>
      <c r="F36" s="243" t="s">
        <v>96</v>
      </c>
      <c r="G36" s="243" t="s">
        <v>143</v>
      </c>
      <c r="I36" s="243" t="s">
        <v>96</v>
      </c>
      <c r="J36" s="243" t="s">
        <v>143</v>
      </c>
    </row>
    <row r="37" spans="2:19" x14ac:dyDescent="0.25">
      <c r="C37" s="243"/>
      <c r="D37" s="243"/>
      <c r="F37" s="243"/>
      <c r="G37" s="243"/>
      <c r="I37" s="243"/>
      <c r="J37" s="243"/>
    </row>
    <row r="38" spans="2:19" x14ac:dyDescent="0.25">
      <c r="C38" s="243" t="s">
        <v>138</v>
      </c>
      <c r="D38" s="245">
        <v>1</v>
      </c>
      <c r="F38" s="244" t="s">
        <v>115</v>
      </c>
      <c r="G38" s="245">
        <v>1</v>
      </c>
      <c r="I38" s="241" t="s">
        <v>15</v>
      </c>
      <c r="J38" s="245">
        <v>1</v>
      </c>
    </row>
    <row r="39" spans="2:19" x14ac:dyDescent="0.25">
      <c r="C39" s="243" t="s">
        <v>140</v>
      </c>
      <c r="D39" s="245">
        <v>0.75</v>
      </c>
      <c r="F39" s="244" t="s">
        <v>116</v>
      </c>
      <c r="G39" s="245">
        <v>0.6</v>
      </c>
      <c r="I39" s="241" t="s">
        <v>14</v>
      </c>
      <c r="J39" s="245">
        <v>0.25</v>
      </c>
    </row>
    <row r="40" spans="2:19" x14ac:dyDescent="0.25">
      <c r="C40" s="243" t="s">
        <v>152</v>
      </c>
      <c r="D40" s="245">
        <v>0.5</v>
      </c>
      <c r="F40" s="244" t="s">
        <v>117</v>
      </c>
      <c r="G40" s="245">
        <v>0.3</v>
      </c>
    </row>
    <row r="41" spans="2:19" x14ac:dyDescent="0.25">
      <c r="C41" s="243" t="s">
        <v>142</v>
      </c>
      <c r="D41" s="245">
        <v>0.25</v>
      </c>
      <c r="F41" s="229"/>
      <c r="G41" s="229"/>
      <c r="R41" s="95"/>
      <c r="S41" s="252"/>
    </row>
    <row r="42" spans="2:19" x14ac:dyDescent="0.25">
      <c r="C42" s="249" t="s">
        <v>145</v>
      </c>
      <c r="D42" s="250">
        <v>1</v>
      </c>
      <c r="F42" s="229"/>
      <c r="G42" s="229"/>
      <c r="R42" s="95"/>
      <c r="S42" s="95"/>
    </row>
    <row r="43" spans="2:19" x14ac:dyDescent="0.25">
      <c r="F43" s="95"/>
      <c r="G43" s="95"/>
    </row>
    <row r="44" spans="2:19" x14ac:dyDescent="0.25">
      <c r="C44" s="538" t="s">
        <v>272</v>
      </c>
      <c r="D44" s="539"/>
      <c r="F44" s="538" t="s">
        <v>136</v>
      </c>
      <c r="G44" s="539"/>
      <c r="I44" s="251" t="s">
        <v>131</v>
      </c>
    </row>
    <row r="45" spans="2:19" x14ac:dyDescent="0.25">
      <c r="B45" s="95"/>
      <c r="C45" s="243" t="s">
        <v>96</v>
      </c>
      <c r="D45" s="243" t="s">
        <v>143</v>
      </c>
      <c r="F45" s="243" t="s">
        <v>96</v>
      </c>
      <c r="G45" s="243" t="s">
        <v>143</v>
      </c>
      <c r="H45" s="95"/>
      <c r="I45" s="243" t="s">
        <v>96</v>
      </c>
      <c r="J45" s="243" t="s">
        <v>143</v>
      </c>
    </row>
    <row r="46" spans="2:19" x14ac:dyDescent="0.25">
      <c r="B46" s="95"/>
      <c r="C46" s="243"/>
      <c r="D46" s="243"/>
      <c r="F46" s="243"/>
      <c r="G46" s="243"/>
      <c r="H46" s="95"/>
      <c r="I46" s="243"/>
      <c r="J46" s="243"/>
    </row>
    <row r="47" spans="2:19" ht="18" x14ac:dyDescent="0.25">
      <c r="B47" s="95"/>
      <c r="C47" s="243" t="s">
        <v>137</v>
      </c>
      <c r="D47" s="245">
        <v>1</v>
      </c>
      <c r="F47" s="243" t="s">
        <v>304</v>
      </c>
      <c r="G47" s="245">
        <v>1</v>
      </c>
      <c r="H47" s="95"/>
      <c r="I47" s="243" t="s">
        <v>132</v>
      </c>
      <c r="J47" s="245">
        <v>1</v>
      </c>
    </row>
    <row r="48" spans="2:19" ht="18" x14ac:dyDescent="0.25">
      <c r="B48" s="95"/>
      <c r="C48" s="243" t="s">
        <v>139</v>
      </c>
      <c r="D48" s="245">
        <v>0.6</v>
      </c>
      <c r="F48" s="243" t="s">
        <v>305</v>
      </c>
      <c r="G48" s="245">
        <v>0.6</v>
      </c>
      <c r="H48" s="95"/>
      <c r="I48" s="243" t="s">
        <v>133</v>
      </c>
      <c r="J48" s="245">
        <v>0.6</v>
      </c>
    </row>
    <row r="49" spans="2:10" ht="18" x14ac:dyDescent="0.25">
      <c r="B49" s="95"/>
      <c r="C49" s="253" t="s">
        <v>141</v>
      </c>
      <c r="D49" s="245">
        <v>0.3</v>
      </c>
      <c r="F49" s="243" t="s">
        <v>306</v>
      </c>
      <c r="G49" s="245">
        <v>0.3</v>
      </c>
      <c r="H49" s="95"/>
      <c r="I49" s="243" t="s">
        <v>134</v>
      </c>
      <c r="J49" s="245">
        <v>0.3</v>
      </c>
    </row>
    <row r="50" spans="2:10" x14ac:dyDescent="0.25">
      <c r="B50" s="95"/>
      <c r="C50" s="243" t="s">
        <v>145</v>
      </c>
      <c r="D50" s="245">
        <v>1</v>
      </c>
      <c r="F50" s="95"/>
      <c r="G50" s="252"/>
      <c r="H50" s="95"/>
      <c r="I50" s="95"/>
    </row>
    <row r="51" spans="2:10" x14ac:dyDescent="0.25">
      <c r="B51" s="95"/>
      <c r="H51" s="95"/>
      <c r="I51" s="95"/>
    </row>
    <row r="52" spans="2:10" x14ac:dyDescent="0.25">
      <c r="B52" s="95"/>
      <c r="C52" s="95"/>
      <c r="D52" s="95"/>
      <c r="E52" s="95"/>
      <c r="F52" s="254"/>
      <c r="G52" s="95"/>
      <c r="H52" s="95"/>
      <c r="I52" s="95"/>
    </row>
    <row r="53" spans="2:10" x14ac:dyDescent="0.25">
      <c r="B53" s="95"/>
      <c r="C53" s="95"/>
      <c r="D53" s="95"/>
      <c r="E53" s="95"/>
      <c r="F53" s="95"/>
      <c r="G53" s="95"/>
      <c r="H53" s="95"/>
      <c r="I53" s="95"/>
    </row>
    <row r="54" spans="2:10" x14ac:dyDescent="0.25">
      <c r="B54" s="95"/>
      <c r="C54" s="95"/>
      <c r="D54" s="95"/>
      <c r="E54" s="95"/>
      <c r="F54" s="95"/>
      <c r="G54" s="95"/>
      <c r="H54" s="95"/>
      <c r="I54" s="95"/>
    </row>
    <row r="55" spans="2:10" x14ac:dyDescent="0.25">
      <c r="B55" s="95"/>
      <c r="C55" s="255"/>
      <c r="D55" s="95"/>
      <c r="E55" s="95"/>
      <c r="F55" s="95"/>
      <c r="G55" s="95"/>
      <c r="H55" s="95"/>
      <c r="I55" s="95"/>
    </row>
    <row r="56" spans="2:10" x14ac:dyDescent="0.25">
      <c r="B56" s="95"/>
      <c r="C56" s="95"/>
      <c r="D56" s="95"/>
      <c r="E56" s="95"/>
      <c r="F56" s="95"/>
      <c r="G56" s="95"/>
      <c r="H56" s="95"/>
      <c r="I56" s="95"/>
    </row>
  </sheetData>
  <sortState ref="F7:G10">
    <sortCondition ref="F7:F10"/>
  </sortState>
  <customSheetViews>
    <customSheetView guid="{2CD00E0D-7A42-4D1F-BB0C-36C7B8A44027}">
      <selection activeCell="B39" sqref="B39"/>
      <pageMargins left="0.7" right="0.7" top="0.75" bottom="0.75" header="0.3" footer="0.3"/>
    </customSheetView>
  </customSheetViews>
  <mergeCells count="18">
    <mergeCell ref="C35:D35"/>
    <mergeCell ref="F35:G35"/>
    <mergeCell ref="I35:J35"/>
    <mergeCell ref="C15:D15"/>
    <mergeCell ref="C44:D44"/>
    <mergeCell ref="F44:G44"/>
    <mergeCell ref="C16:D16"/>
    <mergeCell ref="C17:D17"/>
    <mergeCell ref="C18:D18"/>
    <mergeCell ref="C19:D19"/>
    <mergeCell ref="D7:E7"/>
    <mergeCell ref="D9:E9"/>
    <mergeCell ref="D10:E10"/>
    <mergeCell ref="D8:E8"/>
    <mergeCell ref="K24:O24"/>
    <mergeCell ref="I23:J23"/>
    <mergeCell ref="F23:G23"/>
    <mergeCell ref="C23:D23"/>
  </mergeCells>
  <pageMargins left="0.7" right="0.7" top="0.75" bottom="0.75" header="0.3" footer="0.3"/>
  <pageSetup scale="66"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63</vt:i4>
      </vt:variant>
    </vt:vector>
  </HeadingPairs>
  <TitlesOfParts>
    <vt:vector size="72" baseType="lpstr">
      <vt:lpstr>Introduction</vt:lpstr>
      <vt:lpstr>Cover Page</vt:lpstr>
      <vt:lpstr>Instream-HabRate</vt:lpstr>
      <vt:lpstr>Riparian &amp; Floodplain</vt:lpstr>
      <vt:lpstr>Supporting Landscape</vt:lpstr>
      <vt:lpstr>Credit Calculations</vt:lpstr>
      <vt:lpstr>References</vt:lpstr>
      <vt:lpstr>HabRate Summary</vt:lpstr>
      <vt:lpstr>Dropdown lists</vt:lpstr>
      <vt:lpstr>Checkbox</vt:lpstr>
      <vt:lpstr>DEQ303d</vt:lpstr>
      <vt:lpstr>DEQ303d_Score</vt:lpstr>
      <vt:lpstr>Entrench</vt:lpstr>
      <vt:lpstr>Entrench_Score</vt:lpstr>
      <vt:lpstr>Floodpln</vt:lpstr>
      <vt:lpstr>Floodpln_Score</vt:lpstr>
      <vt:lpstr>FuncRip</vt:lpstr>
      <vt:lpstr>FuncRip_Score</vt:lpstr>
      <vt:lpstr>Instream_Weight</vt:lpstr>
      <vt:lpstr>Landscape</vt:lpstr>
      <vt:lpstr>Landscape_Score</vt:lpstr>
      <vt:lpstr>Landscape_Weight</vt:lpstr>
      <vt:lpstr>lenHData</vt:lpstr>
      <vt:lpstr>LU_DEQ303D_Score</vt:lpstr>
      <vt:lpstr>LU_Entrench_Score</vt:lpstr>
      <vt:lpstr>LU_Floodplain_Score</vt:lpstr>
      <vt:lpstr>LU_NNSp_Score</vt:lpstr>
      <vt:lpstr>LU_Passage_Status</vt:lpstr>
      <vt:lpstr>LU_Pct_Protected_Score</vt:lpstr>
      <vt:lpstr>LU_PctAgrigulture_Score</vt:lpstr>
      <vt:lpstr>LU_RoadDensity_Score</vt:lpstr>
      <vt:lpstr>LU_StreamXDensity_Score</vt:lpstr>
      <vt:lpstr>Mature_Forest_Pct</vt:lpstr>
      <vt:lpstr>Mgt</vt:lpstr>
      <vt:lpstr>Nearstream</vt:lpstr>
      <vt:lpstr>Nearstream_Score</vt:lpstr>
      <vt:lpstr>Nearstream_Weight</vt:lpstr>
      <vt:lpstr>NNSpec</vt:lpstr>
      <vt:lpstr>NNSpec_Score</vt:lpstr>
      <vt:lpstr>Passage_Status</vt:lpstr>
      <vt:lpstr>pClass1</vt:lpstr>
      <vt:lpstr>pClass2</vt:lpstr>
      <vt:lpstr>pClass3</vt:lpstr>
      <vt:lpstr>pClass4</vt:lpstr>
      <vt:lpstr>PctAgriculture</vt:lpstr>
      <vt:lpstr>PctAgriculture_Score</vt:lpstr>
      <vt:lpstr>'Cover Page'!Print_Area</vt:lpstr>
      <vt:lpstr>'Credit Calculations'!Print_Area</vt:lpstr>
      <vt:lpstr>'Dropdown lists'!Print_Area</vt:lpstr>
      <vt:lpstr>'HabRate Summary'!Print_Area</vt:lpstr>
      <vt:lpstr>'Instream-HabRate'!Print_Area</vt:lpstr>
      <vt:lpstr>Introduction!Print_Area</vt:lpstr>
      <vt:lpstr>References!Print_Area</vt:lpstr>
      <vt:lpstr>'Riparian &amp; Floodplain'!Print_Area</vt:lpstr>
      <vt:lpstr>'Supporting Landscape'!Print_Area</vt:lpstr>
      <vt:lpstr>'Instream-HabRate'!Print_Titles</vt:lpstr>
      <vt:lpstr>'Riparian &amp; Floodplain'!Print_Titles</vt:lpstr>
      <vt:lpstr>'Supporting Landscape'!Print_Titles</vt:lpstr>
      <vt:lpstr>Project_Site</vt:lpstr>
      <vt:lpstr>ProtectContArea</vt:lpstr>
      <vt:lpstr>ProtectContArea_Score</vt:lpstr>
      <vt:lpstr>ProtectRiparian</vt:lpstr>
      <vt:lpstr>ProtectRiparian_Score</vt:lpstr>
      <vt:lpstr>Riparian_Pct</vt:lpstr>
      <vt:lpstr>RoadDensity</vt:lpstr>
      <vt:lpstr>RoadDensity_Score</vt:lpstr>
      <vt:lpstr>StreamXDen</vt:lpstr>
      <vt:lpstr>StrmXDen_Score</vt:lpstr>
      <vt:lpstr>TotMiles</vt:lpstr>
      <vt:lpstr>Use_pct</vt:lpstr>
      <vt:lpstr>Veg</vt:lpstr>
      <vt:lpstr>Yes_No</vt:lpstr>
    </vt:vector>
  </TitlesOfParts>
  <Company>The Nature Conservancy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Pickering</dc:creator>
  <cp:lastModifiedBy>Dave Stewart</cp:lastModifiedBy>
  <cp:lastPrinted>2015-03-12T16:55:55Z</cp:lastPrinted>
  <dcterms:created xsi:type="dcterms:W3CDTF">2013-08-02T16:47:16Z</dcterms:created>
  <dcterms:modified xsi:type="dcterms:W3CDTF">2015-04-01T15:40:44Z</dcterms:modified>
</cp:coreProperties>
</file>